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5f552c8be960d9bc/HSS/2026/"/>
    </mc:Choice>
  </mc:AlternateContent>
  <xr:revisionPtr revIDLastSave="546" documentId="13_ncr:1_{82157BFB-B725-C743-9F70-1AC17EBD4B28}" xr6:coauthVersionLast="47" xr6:coauthVersionMax="47" xr10:uidLastSave="{3029CBB8-8F13-E743-995C-B8D5B4B58822}"/>
  <bookViews>
    <workbookView xWindow="0" yWindow="660" windowWidth="30240" windowHeight="18980" tabRatio="653" activeTab="14" xr2:uid="{1C2B489A-55C2-FB42-A80B-6079830C7A5A}"/>
  </bookViews>
  <sheets>
    <sheet name="Sammanställning" sheetId="1" r:id="rId1"/>
    <sheet name="Protokoll till pärmen" sheetId="15" r:id="rId2"/>
    <sheet name="Segl 1" sheetId="2" r:id="rId3"/>
    <sheet name="Segl 2" sheetId="3" r:id="rId4"/>
    <sheet name="Segl 3" sheetId="4" r:id="rId5"/>
    <sheet name="Segl 4" sheetId="5" r:id="rId6"/>
    <sheet name="Segl 5" sheetId="6" r:id="rId7"/>
    <sheet name="Segl 6" sheetId="7" r:id="rId8"/>
    <sheet name="Segl 7" sheetId="8" r:id="rId9"/>
    <sheet name="Segl 8" sheetId="9" r:id="rId10"/>
    <sheet name="Segl 9" sheetId="10" r:id="rId11"/>
    <sheet name="Segl 10" sheetId="11" r:id="rId12"/>
    <sheet name="Banor" sheetId="12" r:id="rId13"/>
    <sheet name="Bana Baksida" sheetId="13" r:id="rId14"/>
    <sheet name="Deltagare" sheetId="14" r:id="rId15"/>
  </sheets>
  <definedNames>
    <definedName name="_xlnm.Print_Area" localSheetId="0">Sammanställning!$A$1:$S$28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14" l="1"/>
  <c r="F12" i="14"/>
  <c r="F11" i="14"/>
  <c r="F10" i="14"/>
  <c r="F9" i="14"/>
  <c r="F8" i="14"/>
  <c r="F7" i="14"/>
  <c r="F6" i="14"/>
  <c r="F5" i="14"/>
  <c r="F4" i="14"/>
  <c r="D22" i="14"/>
  <c r="E13" i="14"/>
  <c r="E12" i="14"/>
  <c r="E11" i="14"/>
  <c r="E10" i="14"/>
  <c r="E9" i="14"/>
  <c r="E8" i="14"/>
  <c r="E7" i="14"/>
  <c r="E6" i="14"/>
  <c r="E5" i="14"/>
  <c r="E4" i="14"/>
  <c r="F21" i="14"/>
  <c r="F19" i="14"/>
  <c r="F18" i="14"/>
  <c r="E25" i="5"/>
  <c r="B4" i="14"/>
  <c r="C4" i="14"/>
  <c r="D4" i="14"/>
  <c r="B5" i="14"/>
  <c r="C5" i="14"/>
  <c r="B6" i="14"/>
  <c r="C6" i="14"/>
  <c r="B7" i="14"/>
  <c r="C7" i="14"/>
  <c r="B8" i="14"/>
  <c r="C8" i="14"/>
  <c r="B9" i="14"/>
  <c r="C9" i="14"/>
  <c r="D9" i="14" s="1"/>
  <c r="B10" i="14"/>
  <c r="C10" i="14"/>
  <c r="B11" i="14"/>
  <c r="C11" i="14"/>
  <c r="D11" i="14" s="1"/>
  <c r="B12" i="14"/>
  <c r="C12" i="14"/>
  <c r="D12" i="14" s="1"/>
  <c r="B13" i="14"/>
  <c r="C13" i="14"/>
  <c r="D13" i="14" s="1"/>
  <c r="D18" i="14"/>
  <c r="D19" i="14"/>
  <c r="D20" i="14"/>
  <c r="D21" i="14"/>
  <c r="A30" i="14"/>
  <c r="G30" i="14"/>
  <c r="H30" i="14"/>
  <c r="A31" i="14"/>
  <c r="G31" i="14"/>
  <c r="H31" i="14" s="1"/>
  <c r="A32" i="14"/>
  <c r="G32" i="14"/>
  <c r="H32" i="14" s="1"/>
  <c r="A33" i="14"/>
  <c r="G33" i="14"/>
  <c r="H33" i="14" s="1"/>
  <c r="A34" i="14"/>
  <c r="G34" i="14"/>
  <c r="H34" i="14" s="1"/>
  <c r="A35" i="14"/>
  <c r="G35" i="14"/>
  <c r="H35" i="14" s="1"/>
  <c r="A36" i="14"/>
  <c r="G36" i="14"/>
  <c r="H36" i="14"/>
  <c r="A37" i="14"/>
  <c r="G37" i="14"/>
  <c r="H37" i="14"/>
  <c r="A38" i="14"/>
  <c r="G38" i="14"/>
  <c r="H38" i="14"/>
  <c r="A39" i="14"/>
  <c r="G39" i="14"/>
  <c r="H39" i="14"/>
  <c r="A40" i="14"/>
  <c r="G40" i="14"/>
  <c r="H40" i="14"/>
  <c r="A41" i="14"/>
  <c r="G41" i="14"/>
  <c r="H41" i="14"/>
  <c r="A42" i="14"/>
  <c r="E16" i="12"/>
  <c r="F16" i="12"/>
  <c r="G16" i="12"/>
  <c r="H16" i="12"/>
  <c r="I16" i="12"/>
  <c r="E17" i="12"/>
  <c r="F17" i="12"/>
  <c r="G17" i="12"/>
  <c r="H17" i="12"/>
  <c r="I17" i="12"/>
  <c r="D18" i="12"/>
  <c r="E18" i="12"/>
  <c r="F18" i="12"/>
  <c r="G18" i="12"/>
  <c r="H18" i="12"/>
  <c r="I18" i="12"/>
  <c r="D19" i="12"/>
  <c r="E19" i="12"/>
  <c r="F19" i="12"/>
  <c r="G19" i="12"/>
  <c r="H19" i="12"/>
  <c r="I19" i="12"/>
  <c r="D20" i="12"/>
  <c r="E20" i="12"/>
  <c r="F20" i="12"/>
  <c r="G20" i="12"/>
  <c r="H20" i="12"/>
  <c r="I20" i="12"/>
  <c r="E22" i="12"/>
  <c r="F22" i="12"/>
  <c r="G22" i="12"/>
  <c r="H22" i="12"/>
  <c r="I22" i="12"/>
  <c r="E23" i="12"/>
  <c r="F23" i="12"/>
  <c r="G23" i="12"/>
  <c r="H23" i="12"/>
  <c r="I23" i="12"/>
  <c r="E24" i="12"/>
  <c r="F24" i="12"/>
  <c r="G24" i="12"/>
  <c r="H24" i="12"/>
  <c r="I24" i="12"/>
  <c r="E25" i="12"/>
  <c r="F25" i="12"/>
  <c r="G25" i="12"/>
  <c r="H25" i="12"/>
  <c r="I25" i="12"/>
  <c r="E26" i="12"/>
  <c r="F26" i="12"/>
  <c r="G26" i="12"/>
  <c r="H26" i="12"/>
  <c r="I26" i="12"/>
  <c r="E27" i="12"/>
  <c r="F27" i="12"/>
  <c r="G27" i="12"/>
  <c r="H27" i="12"/>
  <c r="I27" i="12"/>
  <c r="E28" i="12"/>
  <c r="F28" i="12"/>
  <c r="G28" i="12"/>
  <c r="H28" i="12"/>
  <c r="I28" i="12"/>
  <c r="E29" i="12"/>
  <c r="F29" i="12"/>
  <c r="G29" i="12"/>
  <c r="H29" i="12"/>
  <c r="I29" i="12"/>
  <c r="E30" i="12"/>
  <c r="F30" i="12"/>
  <c r="G30" i="12"/>
  <c r="H30" i="12"/>
  <c r="I30" i="12"/>
  <c r="E31" i="12"/>
  <c r="F31" i="12"/>
  <c r="G31" i="12"/>
  <c r="H31" i="12"/>
  <c r="I31" i="12"/>
  <c r="C32" i="12"/>
  <c r="D32" i="12"/>
  <c r="E32" i="12"/>
  <c r="F32" i="12"/>
  <c r="G32" i="12"/>
  <c r="H32" i="12"/>
  <c r="I32" i="12"/>
  <c r="E33" i="12"/>
  <c r="F33" i="12"/>
  <c r="G33" i="12"/>
  <c r="H33" i="12"/>
  <c r="I33" i="12"/>
  <c r="E34" i="12"/>
  <c r="F34" i="12"/>
  <c r="G34" i="12"/>
  <c r="H34" i="12"/>
  <c r="I34" i="12"/>
  <c r="D35" i="12"/>
  <c r="E35" i="12"/>
  <c r="F35" i="12"/>
  <c r="G35" i="12"/>
  <c r="H35" i="12"/>
  <c r="I35" i="12"/>
  <c r="D36" i="12"/>
  <c r="E36" i="12"/>
  <c r="F36" i="12"/>
  <c r="G36" i="12"/>
  <c r="H36" i="12"/>
  <c r="I36" i="12"/>
  <c r="E37" i="12"/>
  <c r="F37" i="12"/>
  <c r="G37" i="12"/>
  <c r="H37" i="12"/>
  <c r="I37" i="12"/>
  <c r="C38" i="12"/>
  <c r="D38" i="12"/>
  <c r="E38" i="12"/>
  <c r="F38" i="12"/>
  <c r="G38" i="12"/>
  <c r="H38" i="12"/>
  <c r="I38" i="12"/>
  <c r="E39" i="12"/>
  <c r="F39" i="12"/>
  <c r="G39" i="12"/>
  <c r="H39" i="12"/>
  <c r="I39" i="12"/>
  <c r="E40" i="12"/>
  <c r="F40" i="12"/>
  <c r="G40" i="12"/>
  <c r="H40" i="12"/>
  <c r="I40" i="12"/>
  <c r="C41" i="12"/>
  <c r="D41" i="12"/>
  <c r="E41" i="12"/>
  <c r="F41" i="12"/>
  <c r="G41" i="12"/>
  <c r="H41" i="12"/>
  <c r="I41" i="12"/>
  <c r="D42" i="12"/>
  <c r="E42" i="12"/>
  <c r="F42" i="12"/>
  <c r="G42" i="12"/>
  <c r="H42" i="12"/>
  <c r="I42" i="12"/>
  <c r="E43" i="12"/>
  <c r="F43" i="12"/>
  <c r="G43" i="12"/>
  <c r="H43" i="12"/>
  <c r="I43" i="12"/>
  <c r="C44" i="12"/>
  <c r="D44" i="12"/>
  <c r="E44" i="12"/>
  <c r="F44" i="12"/>
  <c r="G44" i="12"/>
  <c r="H44" i="12"/>
  <c r="I44" i="12"/>
  <c r="E45" i="12"/>
  <c r="F45" i="12"/>
  <c r="G45" i="12"/>
  <c r="H45" i="12"/>
  <c r="I45" i="12"/>
  <c r="E46" i="12"/>
  <c r="F46" i="12"/>
  <c r="G46" i="12"/>
  <c r="H46" i="12"/>
  <c r="I46" i="12"/>
  <c r="C47" i="12"/>
  <c r="D47" i="12"/>
  <c r="E47" i="12"/>
  <c r="F47" i="12"/>
  <c r="G47" i="12"/>
  <c r="H47" i="12"/>
  <c r="I47" i="12"/>
  <c r="C48" i="12"/>
  <c r="D48" i="12"/>
  <c r="E48" i="12"/>
  <c r="F48" i="12"/>
  <c r="G48" i="12"/>
  <c r="H48" i="12"/>
  <c r="I48" i="12"/>
  <c r="E49" i="12"/>
  <c r="F49" i="12"/>
  <c r="G49" i="12"/>
  <c r="H49" i="12"/>
  <c r="I49" i="12"/>
  <c r="E50" i="12"/>
  <c r="F50" i="12"/>
  <c r="G50" i="12"/>
  <c r="H50" i="12"/>
  <c r="I50" i="12"/>
  <c r="E51" i="12"/>
  <c r="F51" i="12"/>
  <c r="G51" i="12"/>
  <c r="H51" i="12"/>
  <c r="I51" i="12"/>
  <c r="E52" i="12"/>
  <c r="F52" i="12"/>
  <c r="G52" i="12"/>
  <c r="H52" i="12"/>
  <c r="I52" i="12"/>
  <c r="G2" i="11"/>
  <c r="L12" i="11"/>
  <c r="N12" i="11"/>
  <c r="O12" i="11"/>
  <c r="B19" i="11"/>
  <c r="E19" i="11"/>
  <c r="J19" i="11"/>
  <c r="K19" i="11" s="1"/>
  <c r="N19" i="11" s="1"/>
  <c r="M19" i="11"/>
  <c r="B20" i="11"/>
  <c r="E20" i="11"/>
  <c r="J20" i="11"/>
  <c r="K20" i="11" s="1"/>
  <c r="B21" i="11"/>
  <c r="E21" i="11"/>
  <c r="J21" i="11"/>
  <c r="K21" i="11" s="1"/>
  <c r="B22" i="11"/>
  <c r="E22" i="11"/>
  <c r="J22" i="11"/>
  <c r="K22" i="11" s="1"/>
  <c r="B23" i="11"/>
  <c r="E23" i="11"/>
  <c r="J23" i="11"/>
  <c r="K23" i="11" s="1"/>
  <c r="B24" i="11"/>
  <c r="E24" i="11"/>
  <c r="J24" i="11"/>
  <c r="K24" i="11" s="1"/>
  <c r="N24" i="11" s="1"/>
  <c r="M24" i="11"/>
  <c r="B25" i="11"/>
  <c r="E25" i="11"/>
  <c r="J25" i="11"/>
  <c r="K25" i="11"/>
  <c r="M25" i="11"/>
  <c r="N25" i="11"/>
  <c r="B26" i="11"/>
  <c r="E26" i="11"/>
  <c r="J26" i="11"/>
  <c r="K26" i="11" s="1"/>
  <c r="N26" i="11" s="1"/>
  <c r="M26" i="11"/>
  <c r="B27" i="11"/>
  <c r="E27" i="11"/>
  <c r="J27" i="11"/>
  <c r="K27" i="11"/>
  <c r="M27" i="11"/>
  <c r="N27" i="11"/>
  <c r="B28" i="11"/>
  <c r="E28" i="11"/>
  <c r="J28" i="11"/>
  <c r="K28" i="11"/>
  <c r="M28" i="11"/>
  <c r="N28" i="11"/>
  <c r="B29" i="11"/>
  <c r="E29" i="11"/>
  <c r="J29" i="11"/>
  <c r="K29" i="11"/>
  <c r="M29" i="11"/>
  <c r="N29" i="11"/>
  <c r="B30" i="11"/>
  <c r="E30" i="11"/>
  <c r="J30" i="11"/>
  <c r="K30" i="11"/>
  <c r="M30" i="11"/>
  <c r="N30" i="11"/>
  <c r="B31" i="11"/>
  <c r="E31" i="11"/>
  <c r="J31" i="11"/>
  <c r="K31" i="11"/>
  <c r="M31" i="11"/>
  <c r="N31" i="11"/>
  <c r="G2" i="10"/>
  <c r="L12" i="10"/>
  <c r="N12" i="10"/>
  <c r="O12" i="10"/>
  <c r="B19" i="10"/>
  <c r="E19" i="10"/>
  <c r="J19" i="10"/>
  <c r="B20" i="10"/>
  <c r="E20" i="10"/>
  <c r="J20" i="10"/>
  <c r="B21" i="10"/>
  <c r="E21" i="10"/>
  <c r="J21" i="10"/>
  <c r="B22" i="10"/>
  <c r="E22" i="10"/>
  <c r="J22" i="10"/>
  <c r="B23" i="10"/>
  <c r="E23" i="10"/>
  <c r="J23" i="10"/>
  <c r="B24" i="10"/>
  <c r="E24" i="10"/>
  <c r="J24" i="10"/>
  <c r="B25" i="10"/>
  <c r="E25" i="10"/>
  <c r="J25" i="10"/>
  <c r="B26" i="10"/>
  <c r="E26" i="10"/>
  <c r="J26" i="10"/>
  <c r="B27" i="10"/>
  <c r="E27" i="10"/>
  <c r="J27" i="10"/>
  <c r="K27" i="10"/>
  <c r="M27" i="10"/>
  <c r="N27" i="10"/>
  <c r="B28" i="10"/>
  <c r="E28" i="10"/>
  <c r="J28" i="10"/>
  <c r="K28" i="10"/>
  <c r="M28" i="10"/>
  <c r="N28" i="10"/>
  <c r="B29" i="10"/>
  <c r="E29" i="10"/>
  <c r="J29" i="10"/>
  <c r="K29" i="10"/>
  <c r="M29" i="10"/>
  <c r="B30" i="10"/>
  <c r="E30" i="10"/>
  <c r="J30" i="10"/>
  <c r="K30" i="10"/>
  <c r="M30" i="10"/>
  <c r="N30" i="10"/>
  <c r="B31" i="10"/>
  <c r="E31" i="10"/>
  <c r="J31" i="10"/>
  <c r="K31" i="10"/>
  <c r="M31" i="10"/>
  <c r="N31" i="10"/>
  <c r="G2" i="9"/>
  <c r="L12" i="9"/>
  <c r="N12" i="9"/>
  <c r="O12" i="9"/>
  <c r="B19" i="9"/>
  <c r="E19" i="9"/>
  <c r="J19" i="9"/>
  <c r="B20" i="9"/>
  <c r="E20" i="9"/>
  <c r="J20" i="9"/>
  <c r="B21" i="9"/>
  <c r="E21" i="9"/>
  <c r="J21" i="9"/>
  <c r="B22" i="9"/>
  <c r="E22" i="9"/>
  <c r="J22" i="9"/>
  <c r="B23" i="9"/>
  <c r="E23" i="9"/>
  <c r="J23" i="9"/>
  <c r="B24" i="9"/>
  <c r="E24" i="9"/>
  <c r="J24" i="9"/>
  <c r="B25" i="9"/>
  <c r="E25" i="9"/>
  <c r="J25" i="9"/>
  <c r="B26" i="9"/>
  <c r="E26" i="9"/>
  <c r="J26" i="9"/>
  <c r="B27" i="9"/>
  <c r="E27" i="9"/>
  <c r="J27" i="9"/>
  <c r="K27" i="9"/>
  <c r="M27" i="9"/>
  <c r="N27" i="9"/>
  <c r="B28" i="9"/>
  <c r="E28" i="9"/>
  <c r="J28" i="9"/>
  <c r="K28" i="9"/>
  <c r="M28" i="9"/>
  <c r="N28" i="9"/>
  <c r="B29" i="9"/>
  <c r="E29" i="9"/>
  <c r="J29" i="9"/>
  <c r="K29" i="9"/>
  <c r="M29" i="9"/>
  <c r="N29" i="9"/>
  <c r="B30" i="9"/>
  <c r="E30" i="9"/>
  <c r="J30" i="9"/>
  <c r="K30" i="9"/>
  <c r="M30" i="9"/>
  <c r="N30" i="9"/>
  <c r="B31" i="9"/>
  <c r="E31" i="9"/>
  <c r="J31" i="9"/>
  <c r="K31" i="9"/>
  <c r="M31" i="9"/>
  <c r="N31" i="9"/>
  <c r="G2" i="8"/>
  <c r="L12" i="8"/>
  <c r="N12" i="8"/>
  <c r="O12" i="8"/>
  <c r="B19" i="8"/>
  <c r="E19" i="8"/>
  <c r="J19" i="8"/>
  <c r="K19" i="8" s="1"/>
  <c r="M19" i="8"/>
  <c r="B20" i="8"/>
  <c r="E20" i="8"/>
  <c r="J20" i="8"/>
  <c r="K20" i="8" s="1"/>
  <c r="B21" i="8"/>
  <c r="E21" i="8"/>
  <c r="J21" i="8"/>
  <c r="K21" i="8" s="1"/>
  <c r="B22" i="8"/>
  <c r="E22" i="8"/>
  <c r="J22" i="8"/>
  <c r="K22" i="8" s="1"/>
  <c r="M22" i="8"/>
  <c r="B23" i="8"/>
  <c r="E23" i="8"/>
  <c r="J23" i="8"/>
  <c r="K23" i="8" s="1"/>
  <c r="B24" i="8"/>
  <c r="E24" i="8"/>
  <c r="J24" i="8"/>
  <c r="K24" i="8" s="1"/>
  <c r="N24" i="8" s="1"/>
  <c r="B25" i="8"/>
  <c r="E25" i="8"/>
  <c r="J25" i="8"/>
  <c r="K25" i="8"/>
  <c r="M25" i="8"/>
  <c r="N25" i="8"/>
  <c r="B26" i="8"/>
  <c r="E26" i="8"/>
  <c r="J26" i="8"/>
  <c r="K26" i="8" s="1"/>
  <c r="B27" i="8"/>
  <c r="E27" i="8"/>
  <c r="J27" i="8"/>
  <c r="K27" i="8"/>
  <c r="M27" i="8"/>
  <c r="N27" i="8"/>
  <c r="B28" i="8"/>
  <c r="E28" i="8"/>
  <c r="J28" i="8"/>
  <c r="K28" i="8"/>
  <c r="M28" i="8"/>
  <c r="N28" i="8"/>
  <c r="B29" i="8"/>
  <c r="E29" i="8"/>
  <c r="J29" i="8"/>
  <c r="K29" i="8"/>
  <c r="M29" i="8"/>
  <c r="N29" i="8"/>
  <c r="B30" i="8"/>
  <c r="E30" i="8"/>
  <c r="J30" i="8"/>
  <c r="K30" i="8"/>
  <c r="M30" i="8"/>
  <c r="N30" i="8"/>
  <c r="B31" i="8"/>
  <c r="E31" i="8"/>
  <c r="J31" i="8"/>
  <c r="K31" i="8"/>
  <c r="M31" i="8"/>
  <c r="N31" i="8"/>
  <c r="G2" i="7"/>
  <c r="L12" i="7"/>
  <c r="O12" i="7"/>
  <c r="N12" i="7" s="1"/>
  <c r="B19" i="7"/>
  <c r="E19" i="7"/>
  <c r="J19" i="7"/>
  <c r="K19" i="7" s="1"/>
  <c r="B20" i="7"/>
  <c r="E20" i="7"/>
  <c r="J20" i="7"/>
  <c r="K20" i="7" s="1"/>
  <c r="M20" i="7"/>
  <c r="B21" i="7"/>
  <c r="E21" i="7"/>
  <c r="J21" i="7"/>
  <c r="K21" i="7"/>
  <c r="N21" i="7" s="1"/>
  <c r="M21" i="7"/>
  <c r="B22" i="7"/>
  <c r="E22" i="7"/>
  <c r="J22" i="7"/>
  <c r="K22" i="7" s="1"/>
  <c r="N22" i="7" s="1"/>
  <c r="B23" i="7"/>
  <c r="E23" i="7"/>
  <c r="J23" i="7"/>
  <c r="K23" i="7" s="1"/>
  <c r="B24" i="7"/>
  <c r="E24" i="7"/>
  <c r="J24" i="7"/>
  <c r="K24" i="7"/>
  <c r="N24" i="7" s="1"/>
  <c r="M24" i="7"/>
  <c r="B25" i="7"/>
  <c r="E25" i="7"/>
  <c r="J25" i="7"/>
  <c r="K25" i="7" s="1"/>
  <c r="N25" i="7" s="1"/>
  <c r="M25" i="7"/>
  <c r="B26" i="7"/>
  <c r="E26" i="7"/>
  <c r="J26" i="7"/>
  <c r="K26" i="7" s="1"/>
  <c r="M26" i="7"/>
  <c r="B27" i="7"/>
  <c r="E27" i="7"/>
  <c r="J27" i="7"/>
  <c r="K27" i="7"/>
  <c r="M27" i="7"/>
  <c r="N27" i="7"/>
  <c r="B28" i="7"/>
  <c r="E28" i="7"/>
  <c r="J28" i="7"/>
  <c r="K28" i="7"/>
  <c r="M28" i="7"/>
  <c r="N28" i="7"/>
  <c r="B29" i="7"/>
  <c r="E29" i="7"/>
  <c r="J29" i="7"/>
  <c r="K29" i="7"/>
  <c r="M29" i="7"/>
  <c r="N29" i="7"/>
  <c r="B30" i="7"/>
  <c r="E30" i="7"/>
  <c r="J30" i="7"/>
  <c r="K30" i="7"/>
  <c r="M30" i="7"/>
  <c r="N30" i="7"/>
  <c r="B31" i="7"/>
  <c r="E31" i="7"/>
  <c r="J31" i="7"/>
  <c r="K31" i="7"/>
  <c r="M31" i="7"/>
  <c r="N31" i="7"/>
  <c r="G2" i="6"/>
  <c r="L12" i="6"/>
  <c r="N12" i="6"/>
  <c r="O12" i="6"/>
  <c r="B19" i="6"/>
  <c r="E19" i="6"/>
  <c r="J19" i="6"/>
  <c r="K19" i="6" s="1"/>
  <c r="B20" i="6"/>
  <c r="E20" i="6"/>
  <c r="J20" i="6"/>
  <c r="K20" i="6" s="1"/>
  <c r="B21" i="6"/>
  <c r="E21" i="6"/>
  <c r="J21" i="6"/>
  <c r="K21" i="6" s="1"/>
  <c r="B22" i="6"/>
  <c r="E22" i="6"/>
  <c r="J22" i="6"/>
  <c r="M22" i="6" s="1"/>
  <c r="K22" i="6"/>
  <c r="B23" i="6"/>
  <c r="E23" i="6"/>
  <c r="J23" i="6"/>
  <c r="K23" i="6"/>
  <c r="M23" i="6"/>
  <c r="B24" i="6"/>
  <c r="E24" i="6"/>
  <c r="J24" i="6"/>
  <c r="K24" i="6" s="1"/>
  <c r="B25" i="6"/>
  <c r="E25" i="6"/>
  <c r="J25" i="6"/>
  <c r="K25" i="6" s="1"/>
  <c r="B26" i="6"/>
  <c r="E26" i="6"/>
  <c r="J26" i="6"/>
  <c r="K26" i="6" s="1"/>
  <c r="N26" i="6" s="1"/>
  <c r="M26" i="6"/>
  <c r="B27" i="6"/>
  <c r="E27" i="6"/>
  <c r="J27" i="6"/>
  <c r="K27" i="6"/>
  <c r="M27" i="6"/>
  <c r="N27" i="6"/>
  <c r="B28" i="6"/>
  <c r="E28" i="6"/>
  <c r="J28" i="6"/>
  <c r="K28" i="6"/>
  <c r="M28" i="6"/>
  <c r="N28" i="6"/>
  <c r="B29" i="6"/>
  <c r="E29" i="6"/>
  <c r="J29" i="6"/>
  <c r="K29" i="6"/>
  <c r="M29" i="6"/>
  <c r="N29" i="6"/>
  <c r="B30" i="6"/>
  <c r="E30" i="6"/>
  <c r="J30" i="6"/>
  <c r="K30" i="6"/>
  <c r="M30" i="6"/>
  <c r="N30" i="6"/>
  <c r="B31" i="6"/>
  <c r="E31" i="6"/>
  <c r="J31" i="6"/>
  <c r="K31" i="6"/>
  <c r="M31" i="6"/>
  <c r="N31" i="6"/>
  <c r="G2" i="5"/>
  <c r="L12" i="5"/>
  <c r="N12" i="5"/>
  <c r="O12" i="5"/>
  <c r="B19" i="5"/>
  <c r="E19" i="5"/>
  <c r="J19" i="5"/>
  <c r="B20" i="5"/>
  <c r="E20" i="5"/>
  <c r="J20" i="5"/>
  <c r="B21" i="5"/>
  <c r="E21" i="5"/>
  <c r="J21" i="5"/>
  <c r="B22" i="5"/>
  <c r="E22" i="5"/>
  <c r="J22" i="5"/>
  <c r="B23" i="5"/>
  <c r="E23" i="5"/>
  <c r="J23" i="5"/>
  <c r="B24" i="5"/>
  <c r="E24" i="5"/>
  <c r="J24" i="5"/>
  <c r="B25" i="5"/>
  <c r="J25" i="5"/>
  <c r="B26" i="5"/>
  <c r="E26" i="5"/>
  <c r="J26" i="5"/>
  <c r="B27" i="5"/>
  <c r="E27" i="5"/>
  <c r="J27" i="5"/>
  <c r="K27" i="5"/>
  <c r="M27" i="5"/>
  <c r="N27" i="5"/>
  <c r="B28" i="5"/>
  <c r="E28" i="5"/>
  <c r="J28" i="5"/>
  <c r="K28" i="5"/>
  <c r="M28" i="5"/>
  <c r="N28" i="5"/>
  <c r="B29" i="5"/>
  <c r="E29" i="5"/>
  <c r="J29" i="5"/>
  <c r="K29" i="5"/>
  <c r="M29" i="5"/>
  <c r="N29" i="5"/>
  <c r="B30" i="5"/>
  <c r="E30" i="5"/>
  <c r="J30" i="5"/>
  <c r="K30" i="5"/>
  <c r="M30" i="5"/>
  <c r="N30" i="5"/>
  <c r="B31" i="5"/>
  <c r="E31" i="5"/>
  <c r="J31" i="5"/>
  <c r="K31" i="5"/>
  <c r="M31" i="5"/>
  <c r="N31" i="5"/>
  <c r="G2" i="4"/>
  <c r="L12" i="4"/>
  <c r="O12" i="4"/>
  <c r="N12" i="4" s="1"/>
  <c r="B19" i="4"/>
  <c r="E19" i="4"/>
  <c r="J19" i="4"/>
  <c r="M19" i="4"/>
  <c r="B20" i="4"/>
  <c r="E20" i="4"/>
  <c r="J20" i="4"/>
  <c r="M20" i="4" s="1"/>
  <c r="K20" i="4"/>
  <c r="B21" i="4"/>
  <c r="E21" i="4"/>
  <c r="J21" i="4"/>
  <c r="K21" i="4" s="1"/>
  <c r="B22" i="4"/>
  <c r="E22" i="4"/>
  <c r="J22" i="4"/>
  <c r="M22" i="4" s="1"/>
  <c r="B23" i="4"/>
  <c r="E23" i="4"/>
  <c r="J23" i="4"/>
  <c r="K23" i="4" s="1"/>
  <c r="B24" i="4"/>
  <c r="E24" i="4"/>
  <c r="J24" i="4"/>
  <c r="K24" i="4" s="1"/>
  <c r="N24" i="4" s="1"/>
  <c r="B25" i="4"/>
  <c r="E25" i="4"/>
  <c r="J25" i="4"/>
  <c r="K25" i="4"/>
  <c r="M25" i="4"/>
  <c r="N25" i="4"/>
  <c r="B26" i="4"/>
  <c r="E26" i="4"/>
  <c r="J26" i="4"/>
  <c r="K26" i="4" s="1"/>
  <c r="M26" i="4"/>
  <c r="B27" i="4"/>
  <c r="E27" i="4"/>
  <c r="J27" i="4"/>
  <c r="K27" i="4"/>
  <c r="M27" i="4"/>
  <c r="N27" i="4"/>
  <c r="B28" i="4"/>
  <c r="E28" i="4"/>
  <c r="J28" i="4"/>
  <c r="K28" i="4"/>
  <c r="M28" i="4"/>
  <c r="N28" i="4"/>
  <c r="B29" i="4"/>
  <c r="E29" i="4"/>
  <c r="J29" i="4"/>
  <c r="K29" i="4"/>
  <c r="M29" i="4"/>
  <c r="N29" i="4"/>
  <c r="B30" i="4"/>
  <c r="E30" i="4"/>
  <c r="J30" i="4"/>
  <c r="K30" i="4"/>
  <c r="M30" i="4"/>
  <c r="N30" i="4"/>
  <c r="B31" i="4"/>
  <c r="E31" i="4"/>
  <c r="J31" i="4"/>
  <c r="K31" i="4"/>
  <c r="M31" i="4"/>
  <c r="N31" i="4"/>
  <c r="G2" i="3"/>
  <c r="L12" i="3"/>
  <c r="N12" i="3"/>
  <c r="O12" i="3"/>
  <c r="B19" i="3"/>
  <c r="E19" i="3"/>
  <c r="J19" i="3"/>
  <c r="B20" i="3"/>
  <c r="E20" i="3"/>
  <c r="J20" i="3"/>
  <c r="B21" i="3"/>
  <c r="E21" i="3"/>
  <c r="J21" i="3"/>
  <c r="B22" i="3"/>
  <c r="E22" i="3"/>
  <c r="J22" i="3"/>
  <c r="B23" i="3"/>
  <c r="E23" i="3"/>
  <c r="J23" i="3"/>
  <c r="B24" i="3"/>
  <c r="E24" i="3"/>
  <c r="J24" i="3"/>
  <c r="B25" i="3"/>
  <c r="E25" i="3"/>
  <c r="J25" i="3"/>
  <c r="B26" i="3"/>
  <c r="E26" i="3"/>
  <c r="J26" i="3"/>
  <c r="K26" i="3" s="1"/>
  <c r="N26" i="3" s="1"/>
  <c r="B27" i="3"/>
  <c r="E27" i="3"/>
  <c r="J27" i="3"/>
  <c r="K27" i="3"/>
  <c r="M27" i="3"/>
  <c r="N27" i="3"/>
  <c r="B28" i="3"/>
  <c r="E28" i="3"/>
  <c r="J28" i="3"/>
  <c r="K28" i="3"/>
  <c r="M28" i="3"/>
  <c r="N28" i="3"/>
  <c r="B29" i="3"/>
  <c r="E29" i="3"/>
  <c r="J29" i="3"/>
  <c r="K29" i="3"/>
  <c r="M29" i="3"/>
  <c r="N29" i="3"/>
  <c r="B30" i="3"/>
  <c r="E30" i="3"/>
  <c r="J30" i="3"/>
  <c r="K30" i="3"/>
  <c r="M30" i="3"/>
  <c r="N30" i="3"/>
  <c r="B31" i="3"/>
  <c r="E31" i="3"/>
  <c r="J31" i="3"/>
  <c r="K31" i="3"/>
  <c r="M31" i="3"/>
  <c r="N31" i="3"/>
  <c r="G2" i="2"/>
  <c r="L12" i="2"/>
  <c r="N12" i="2"/>
  <c r="O12" i="2"/>
  <c r="B19" i="2"/>
  <c r="E19" i="2"/>
  <c r="J19" i="2"/>
  <c r="K19" i="2"/>
  <c r="M19" i="2"/>
  <c r="N19" i="2"/>
  <c r="B20" i="2"/>
  <c r="E20" i="2"/>
  <c r="J20" i="2"/>
  <c r="K20" i="2"/>
  <c r="M20" i="2"/>
  <c r="N20" i="2"/>
  <c r="B21" i="2"/>
  <c r="E21" i="2"/>
  <c r="J21" i="2"/>
  <c r="K21" i="2"/>
  <c r="M21" i="2"/>
  <c r="N21" i="2"/>
  <c r="B22" i="2"/>
  <c r="E22" i="2"/>
  <c r="J22" i="2"/>
  <c r="K22" i="2"/>
  <c r="M22" i="2"/>
  <c r="N22" i="2"/>
  <c r="B23" i="2"/>
  <c r="E23" i="2"/>
  <c r="J23" i="2"/>
  <c r="K23" i="2"/>
  <c r="M23" i="2"/>
  <c r="N23" i="2"/>
  <c r="B24" i="2"/>
  <c r="E24" i="2"/>
  <c r="J24" i="2"/>
  <c r="K24" i="2"/>
  <c r="M24" i="2"/>
  <c r="N24" i="2"/>
  <c r="B25" i="2"/>
  <c r="E25" i="2"/>
  <c r="J25" i="2"/>
  <c r="K25" i="2"/>
  <c r="M25" i="2"/>
  <c r="N25" i="2"/>
  <c r="B26" i="2"/>
  <c r="E26" i="2"/>
  <c r="J26" i="2"/>
  <c r="M26" i="2" s="1"/>
  <c r="B27" i="2"/>
  <c r="E27" i="2"/>
  <c r="J27" i="2"/>
  <c r="K27" i="2"/>
  <c r="M27" i="2"/>
  <c r="N27" i="2"/>
  <c r="B28" i="2"/>
  <c r="E28" i="2"/>
  <c r="J28" i="2"/>
  <c r="K28" i="2"/>
  <c r="M28" i="2"/>
  <c r="N28" i="2"/>
  <c r="B29" i="2"/>
  <c r="E29" i="2"/>
  <c r="J29" i="2"/>
  <c r="K29" i="2"/>
  <c r="M29" i="2"/>
  <c r="N29" i="2"/>
  <c r="B30" i="2"/>
  <c r="E30" i="2"/>
  <c r="J30" i="2"/>
  <c r="K30" i="2"/>
  <c r="M30" i="2"/>
  <c r="N30" i="2"/>
  <c r="B31" i="2"/>
  <c r="E31" i="2"/>
  <c r="J31" i="2"/>
  <c r="K31" i="2"/>
  <c r="M31" i="2"/>
  <c r="N31" i="2"/>
  <c r="G2" i="15"/>
  <c r="S9" i="1"/>
  <c r="S10" i="1"/>
  <c r="S11" i="1"/>
  <c r="S12" i="1"/>
  <c r="S13" i="1"/>
  <c r="S14" i="1"/>
  <c r="S15" i="1"/>
  <c r="F16" i="1"/>
  <c r="S16" i="1"/>
  <c r="S17" i="1"/>
  <c r="S18" i="1"/>
  <c r="S19" i="1"/>
  <c r="S20" i="1"/>
  <c r="H21" i="1"/>
  <c r="S21" i="1"/>
  <c r="M23" i="11" l="1"/>
  <c r="M22" i="11"/>
  <c r="N22" i="11" s="1"/>
  <c r="M21" i="11"/>
  <c r="N21" i="11" s="1"/>
  <c r="M20" i="11"/>
  <c r="O30" i="11"/>
  <c r="O20" i="1" s="1"/>
  <c r="O13" i="11"/>
  <c r="N13" i="11"/>
  <c r="L29" i="11" a="1"/>
  <c r="L29" i="11" s="1"/>
  <c r="L30" i="11" a="1"/>
  <c r="L30" i="11" s="1"/>
  <c r="O15" i="1"/>
  <c r="O31" i="11"/>
  <c r="O21" i="1" s="1"/>
  <c r="L31" i="11" a="1"/>
  <c r="L31" i="11" s="1"/>
  <c r="O28" i="11"/>
  <c r="O18" i="1" s="1"/>
  <c r="L28" i="11" a="1"/>
  <c r="L28" i="11" s="1"/>
  <c r="L21" i="11" a="1"/>
  <c r="L21" i="11" s="1"/>
  <c r="O22" i="11"/>
  <c r="O12" i="1" s="1"/>
  <c r="N23" i="11"/>
  <c r="O16" i="1"/>
  <c r="O23" i="11"/>
  <c r="O13" i="1" s="1"/>
  <c r="O17" i="1"/>
  <c r="O20" i="11"/>
  <c r="O10" i="1" s="1"/>
  <c r="O14" i="1"/>
  <c r="L27" i="11" a="1"/>
  <c r="L27" i="11" s="1"/>
  <c r="O21" i="11"/>
  <c r="O11" i="1" s="1"/>
  <c r="O29" i="11"/>
  <c r="O19" i="1" s="1"/>
  <c r="L19" i="11" a="1"/>
  <c r="L19" i="11" s="1"/>
  <c r="L20" i="11" a="1"/>
  <c r="L20" i="11" s="1"/>
  <c r="L22" i="11" a="1"/>
  <c r="L22" i="11" s="1"/>
  <c r="L23" i="11" a="1"/>
  <c r="L23" i="11" s="1"/>
  <c r="L24" i="11" a="1"/>
  <c r="L24" i="11" s="1"/>
  <c r="L25" i="11" a="1"/>
  <c r="L25" i="11" s="1"/>
  <c r="L26" i="11" a="1"/>
  <c r="L26" i="11" s="1"/>
  <c r="O19" i="11"/>
  <c r="O9" i="1" s="1"/>
  <c r="K25" i="10"/>
  <c r="N25" i="10" s="1"/>
  <c r="M25" i="10"/>
  <c r="K24" i="10"/>
  <c r="N24" i="10" s="1"/>
  <c r="M24" i="10"/>
  <c r="M20" i="10"/>
  <c r="K20" i="10"/>
  <c r="N20" i="10" s="1"/>
  <c r="K26" i="10"/>
  <c r="M26" i="10"/>
  <c r="M23" i="10"/>
  <c r="K23" i="10"/>
  <c r="K22" i="10"/>
  <c r="M22" i="10"/>
  <c r="M21" i="10"/>
  <c r="K21" i="10"/>
  <c r="K19" i="10"/>
  <c r="M19" i="10"/>
  <c r="L24" i="10" a="1"/>
  <c r="L24" i="10" s="1"/>
  <c r="N14" i="1"/>
  <c r="L26" i="10" a="1"/>
  <c r="L26" i="10" s="1"/>
  <c r="O26" i="10"/>
  <c r="N16" i="1" s="1"/>
  <c r="L25" i="10" a="1"/>
  <c r="L25" i="10" s="1"/>
  <c r="O21" i="10"/>
  <c r="N11" i="1" s="1"/>
  <c r="N15" i="1"/>
  <c r="N26" i="10"/>
  <c r="O23" i="10"/>
  <c r="N13" i="1" s="1"/>
  <c r="L21" i="10" a="1"/>
  <c r="L21" i="10" s="1"/>
  <c r="L22" i="10" a="1"/>
  <c r="L22" i="10" s="1"/>
  <c r="N22" i="10"/>
  <c r="L23" i="10" a="1"/>
  <c r="L23" i="10" s="1"/>
  <c r="L19" i="10" a="1"/>
  <c r="L19" i="10" s="1"/>
  <c r="N10" i="1"/>
  <c r="L20" i="10" a="1"/>
  <c r="L20" i="10" s="1"/>
  <c r="O19" i="10"/>
  <c r="N9" i="1" s="1"/>
  <c r="O22" i="10"/>
  <c r="N12" i="1" s="1"/>
  <c r="M25" i="9"/>
  <c r="K25" i="9"/>
  <c r="N25" i="9" s="1"/>
  <c r="M24" i="9"/>
  <c r="K24" i="9"/>
  <c r="N24" i="9" s="1"/>
  <c r="K26" i="9"/>
  <c r="M26" i="9"/>
  <c r="K23" i="9"/>
  <c r="M23" i="9"/>
  <c r="K22" i="9"/>
  <c r="M22" i="9"/>
  <c r="K21" i="9"/>
  <c r="M21" i="9"/>
  <c r="K20" i="9"/>
  <c r="M20" i="9"/>
  <c r="K19" i="9"/>
  <c r="M19" i="9"/>
  <c r="L20" i="9" a="1"/>
  <c r="L20" i="9" s="1"/>
  <c r="O30" i="9"/>
  <c r="M20" i="1" s="1"/>
  <c r="L19" i="9" a="1"/>
  <c r="L19" i="9" s="1"/>
  <c r="N19" i="9"/>
  <c r="O19" i="9"/>
  <c r="M9" i="1" s="1"/>
  <c r="O20" i="9"/>
  <c r="M10" i="1" s="1"/>
  <c r="O28" i="9"/>
  <c r="M18" i="1" s="1"/>
  <c r="L30" i="9" a="1"/>
  <c r="L30" i="9" s="1"/>
  <c r="O23" i="9"/>
  <c r="M13" i="1" s="1"/>
  <c r="L24" i="9" a="1"/>
  <c r="L24" i="9" s="1"/>
  <c r="L27" i="9" a="1"/>
  <c r="L27" i="9" s="1"/>
  <c r="L29" i="9" a="1"/>
  <c r="L29" i="9" s="1"/>
  <c r="L23" i="9" a="1"/>
  <c r="L23" i="9" s="1"/>
  <c r="O29" i="9"/>
  <c r="M19" i="1" s="1"/>
  <c r="M15" i="1"/>
  <c r="O27" i="9"/>
  <c r="M17" i="1" s="1"/>
  <c r="L28" i="9" a="1"/>
  <c r="L28" i="9" s="1"/>
  <c r="O22" i="9"/>
  <c r="M12" i="1" s="1"/>
  <c r="M14" i="1"/>
  <c r="L25" i="9" a="1"/>
  <c r="L25" i="9" s="1"/>
  <c r="L21" i="9" a="1"/>
  <c r="L21" i="9" s="1"/>
  <c r="O31" i="9"/>
  <c r="M21" i="1" s="1"/>
  <c r="L22" i="9" a="1"/>
  <c r="L22" i="9" s="1"/>
  <c r="O21" i="9"/>
  <c r="M11" i="1" s="1"/>
  <c r="L26" i="9" a="1"/>
  <c r="L26" i="9" s="1"/>
  <c r="M24" i="8"/>
  <c r="M26" i="8"/>
  <c r="N26" i="8"/>
  <c r="N22" i="8"/>
  <c r="N19" i="8"/>
  <c r="M23" i="8"/>
  <c r="N23" i="8" s="1"/>
  <c r="M21" i="8"/>
  <c r="O26" i="8"/>
  <c r="L16" i="1" s="1"/>
  <c r="O28" i="8"/>
  <c r="L18" i="1" s="1"/>
  <c r="M20" i="8"/>
  <c r="L13" i="8" s="1"/>
  <c r="O30" i="8"/>
  <c r="L20" i="1" s="1"/>
  <c r="L29" i="8" a="1"/>
  <c r="L29" i="8" s="1"/>
  <c r="L21" i="8" a="1"/>
  <c r="L21" i="8" s="1"/>
  <c r="O31" i="8"/>
  <c r="L21" i="1" s="1"/>
  <c r="O19" i="8"/>
  <c r="L9" i="1" s="1"/>
  <c r="L30" i="8" a="1"/>
  <c r="L30" i="8" s="1"/>
  <c r="O27" i="8"/>
  <c r="L17" i="1" s="1"/>
  <c r="O23" i="8"/>
  <c r="L13" i="1" s="1"/>
  <c r="L31" i="8" a="1"/>
  <c r="L31" i="8" s="1"/>
  <c r="L26" i="8" a="1"/>
  <c r="L26" i="8" s="1"/>
  <c r="O20" i="8"/>
  <c r="L10" i="1" s="1"/>
  <c r="L19" i="8" a="1"/>
  <c r="L19" i="8" s="1"/>
  <c r="L14" i="1"/>
  <c r="O29" i="8"/>
  <c r="L19" i="1" s="1"/>
  <c r="O21" i="8"/>
  <c r="L11" i="1" s="1"/>
  <c r="L27" i="8" a="1"/>
  <c r="L27" i="8" s="1"/>
  <c r="L28" i="8" a="1"/>
  <c r="L28" i="8" s="1"/>
  <c r="N21" i="8"/>
  <c r="L20" i="8" a="1"/>
  <c r="L20" i="8" s="1"/>
  <c r="L15" i="1"/>
  <c r="O22" i="8"/>
  <c r="L12" i="1" s="1"/>
  <c r="D10" i="14"/>
  <c r="L22" i="8" a="1"/>
  <c r="L22" i="8" s="1"/>
  <c r="L23" i="8" a="1"/>
  <c r="L23" i="8" s="1"/>
  <c r="L24" i="8" a="1"/>
  <c r="L24" i="8" s="1"/>
  <c r="L25" i="8" a="1"/>
  <c r="L25" i="8" s="1"/>
  <c r="M22" i="7"/>
  <c r="N20" i="7"/>
  <c r="N26" i="7"/>
  <c r="M23" i="7"/>
  <c r="N23" i="7" s="1"/>
  <c r="L21" i="7" a="1"/>
  <c r="L21" i="7" s="1"/>
  <c r="L30" i="7" a="1"/>
  <c r="L30" i="7" s="1"/>
  <c r="O30" i="7"/>
  <c r="K20" i="1" s="1"/>
  <c r="L28" i="7" a="1"/>
  <c r="L28" i="7" s="1"/>
  <c r="O31" i="7"/>
  <c r="K21" i="1" s="1"/>
  <c r="L31" i="7" a="1"/>
  <c r="L31" i="7" s="1"/>
  <c r="K14" i="1"/>
  <c r="M19" i="7"/>
  <c r="O26" i="7"/>
  <c r="K16" i="1" s="1"/>
  <c r="O23" i="7"/>
  <c r="K13" i="1" s="1"/>
  <c r="L20" i="7" a="1"/>
  <c r="L20" i="7" s="1"/>
  <c r="K11" i="1"/>
  <c r="L29" i="7" a="1"/>
  <c r="L29" i="7" s="1"/>
  <c r="K12" i="1"/>
  <c r="L19" i="7" a="1"/>
  <c r="L19" i="7" s="1"/>
  <c r="K15" i="1"/>
  <c r="L22" i="7" a="1"/>
  <c r="L22" i="7" s="1"/>
  <c r="L23" i="7" a="1"/>
  <c r="L23" i="7" s="1"/>
  <c r="O27" i="7"/>
  <c r="K17" i="1" s="1"/>
  <c r="L24" i="7" a="1"/>
  <c r="L24" i="7" s="1"/>
  <c r="O28" i="7"/>
  <c r="K18" i="1" s="1"/>
  <c r="L25" i="7" a="1"/>
  <c r="L25" i="7" s="1"/>
  <c r="O29" i="7"/>
  <c r="K19" i="1" s="1"/>
  <c r="L26" i="7" a="1"/>
  <c r="L26" i="7" s="1"/>
  <c r="O19" i="7"/>
  <c r="K9" i="1" s="1"/>
  <c r="L27" i="7" a="1"/>
  <c r="L27" i="7" s="1"/>
  <c r="K10" i="1"/>
  <c r="M25" i="6"/>
  <c r="N25" i="6" s="1"/>
  <c r="N22" i="6"/>
  <c r="M20" i="6"/>
  <c r="N20" i="6"/>
  <c r="M19" i="6"/>
  <c r="M24" i="6"/>
  <c r="N24" i="6" s="1"/>
  <c r="M21" i="6"/>
  <c r="N21" i="6" s="1"/>
  <c r="N19" i="6"/>
  <c r="O27" i="6"/>
  <c r="J17" i="1" s="1"/>
  <c r="L26" i="6" a="1"/>
  <c r="L26" i="6" s="1"/>
  <c r="L30" i="6" a="1"/>
  <c r="L30" i="6" s="1"/>
  <c r="L21" i="6" a="1"/>
  <c r="L21" i="6" s="1"/>
  <c r="L31" i="6" a="1"/>
  <c r="L31" i="6" s="1"/>
  <c r="L20" i="6" a="1"/>
  <c r="L20" i="6" s="1"/>
  <c r="O22" i="6"/>
  <c r="J12" i="1" s="1"/>
  <c r="O23" i="6"/>
  <c r="J13" i="1" s="1"/>
  <c r="O31" i="6"/>
  <c r="J21" i="1" s="1"/>
  <c r="O28" i="6"/>
  <c r="J18" i="1" s="1"/>
  <c r="J16" i="1"/>
  <c r="N23" i="6"/>
  <c r="O21" i="6"/>
  <c r="J11" i="1" s="1"/>
  <c r="L25" i="6" a="1"/>
  <c r="L25" i="6" s="1"/>
  <c r="L24" i="6" a="1"/>
  <c r="L24" i="6" s="1"/>
  <c r="O19" i="6"/>
  <c r="J9" i="1" s="1"/>
  <c r="L27" i="6" a="1"/>
  <c r="L27" i="6" s="1"/>
  <c r="L22" i="6" a="1"/>
  <c r="L22" i="6" s="1"/>
  <c r="O24" i="6"/>
  <c r="J14" i="1" s="1"/>
  <c r="O29" i="6"/>
  <c r="J19" i="1" s="1"/>
  <c r="L28" i="6" a="1"/>
  <c r="L28" i="6" s="1"/>
  <c r="L23" i="6" a="1"/>
  <c r="L23" i="6" s="1"/>
  <c r="O25" i="6"/>
  <c r="J15" i="1" s="1"/>
  <c r="O30" i="6"/>
  <c r="J20" i="1" s="1"/>
  <c r="L29" i="6" a="1"/>
  <c r="L29" i="6" s="1"/>
  <c r="O20" i="6"/>
  <c r="J10" i="1" s="1"/>
  <c r="L19" i="6" a="1"/>
  <c r="L19" i="6" s="1"/>
  <c r="D8" i="14"/>
  <c r="L13" i="6"/>
  <c r="K26" i="5"/>
  <c r="N26" i="5" s="1"/>
  <c r="M26" i="5"/>
  <c r="K24" i="5"/>
  <c r="N24" i="5" s="1"/>
  <c r="M24" i="5"/>
  <c r="K21" i="5"/>
  <c r="N21" i="5" s="1"/>
  <c r="M21" i="5"/>
  <c r="M19" i="5"/>
  <c r="K19" i="5"/>
  <c r="K25" i="5"/>
  <c r="M25" i="5"/>
  <c r="M23" i="5"/>
  <c r="K23" i="5"/>
  <c r="N23" i="5" s="1"/>
  <c r="K22" i="5"/>
  <c r="M22" i="5"/>
  <c r="K20" i="5"/>
  <c r="M20" i="5"/>
  <c r="O23" i="5"/>
  <c r="L25" i="5" a="1"/>
  <c r="N25" i="5"/>
  <c r="L26" i="5" a="1"/>
  <c r="O25" i="5"/>
  <c r="O22" i="5"/>
  <c r="L24" i="5" a="1"/>
  <c r="L23" i="5" a="1"/>
  <c r="L20" i="5" a="1"/>
  <c r="B14" i="14"/>
  <c r="B25" i="14" s="1"/>
  <c r="D7" i="14"/>
  <c r="K22" i="4"/>
  <c r="N22" i="4" s="1"/>
  <c r="M26" i="3"/>
  <c r="O13" i="2"/>
  <c r="L13" i="2"/>
  <c r="N13" i="2"/>
  <c r="K26" i="2"/>
  <c r="M24" i="4"/>
  <c r="N26" i="4"/>
  <c r="N20" i="4"/>
  <c r="M21" i="4"/>
  <c r="N21" i="4" s="1"/>
  <c r="K19" i="4"/>
  <c r="M23" i="4"/>
  <c r="N23" i="4" s="1"/>
  <c r="M13" i="4"/>
  <c r="L13" i="4"/>
  <c r="O30" i="4"/>
  <c r="H20" i="1" s="1"/>
  <c r="O13" i="4"/>
  <c r="N19" i="4"/>
  <c r="D6" i="14"/>
  <c r="H15" i="1"/>
  <c r="L28" i="4" a="1"/>
  <c r="L28" i="4" s="1"/>
  <c r="O26" i="4"/>
  <c r="H16" i="1" s="1"/>
  <c r="O20" i="4"/>
  <c r="H10" i="1" s="1"/>
  <c r="O21" i="4"/>
  <c r="H11" i="1" s="1"/>
  <c r="L29" i="4" a="1"/>
  <c r="L29" i="4" s="1"/>
  <c r="L30" i="4" a="1"/>
  <c r="L30" i="4" s="1"/>
  <c r="L25" i="4" a="1"/>
  <c r="L25" i="4" s="1"/>
  <c r="O27" i="4"/>
  <c r="H17" i="1" s="1"/>
  <c r="O22" i="4"/>
  <c r="H12" i="1" s="1"/>
  <c r="L21" i="4" a="1"/>
  <c r="L21" i="4" s="1"/>
  <c r="L31" i="4" a="1"/>
  <c r="L31" i="4" s="1"/>
  <c r="L26" i="4" a="1"/>
  <c r="L26" i="4" s="1"/>
  <c r="O19" i="4"/>
  <c r="H9" i="1" s="1"/>
  <c r="O23" i="4"/>
  <c r="H13" i="1" s="1"/>
  <c r="L27" i="4" a="1"/>
  <c r="L27" i="4" s="1"/>
  <c r="O28" i="4"/>
  <c r="H18" i="1" s="1"/>
  <c r="O29" i="4"/>
  <c r="H19" i="1" s="1"/>
  <c r="H14" i="1"/>
  <c r="L23" i="4" a="1"/>
  <c r="L23" i="4" s="1"/>
  <c r="L19" i="4" a="1"/>
  <c r="L19" i="4" s="1"/>
  <c r="L20" i="4" a="1"/>
  <c r="L20" i="4" s="1"/>
  <c r="L22" i="4" a="1"/>
  <c r="L22" i="4" s="1"/>
  <c r="L24" i="4" a="1"/>
  <c r="L24" i="4" s="1"/>
  <c r="K24" i="3"/>
  <c r="N24" i="3" s="1"/>
  <c r="M24" i="3"/>
  <c r="K22" i="3"/>
  <c r="N22" i="3" s="1"/>
  <c r="M22" i="3"/>
  <c r="K25" i="3"/>
  <c r="N25" i="3" s="1"/>
  <c r="M25" i="3"/>
  <c r="K23" i="3"/>
  <c r="M23" i="3"/>
  <c r="K21" i="3"/>
  <c r="M21" i="3"/>
  <c r="K20" i="3"/>
  <c r="M20" i="3"/>
  <c r="K19" i="3"/>
  <c r="M19" i="3"/>
  <c r="D5" i="14"/>
  <c r="C14" i="14"/>
  <c r="C25" i="14" s="1"/>
  <c r="M13" i="11" l="1"/>
  <c r="L13" i="11"/>
  <c r="N20" i="11"/>
  <c r="N23" i="10"/>
  <c r="N21" i="10"/>
  <c r="L29" i="10" a="1"/>
  <c r="L29" i="10" s="1"/>
  <c r="O31" i="10"/>
  <c r="N21" i="1" s="1"/>
  <c r="O30" i="10"/>
  <c r="N20" i="1" s="1"/>
  <c r="O29" i="10"/>
  <c r="N19" i="1" s="1"/>
  <c r="O27" i="10"/>
  <c r="N17" i="1" s="1"/>
  <c r="N19" i="10"/>
  <c r="L31" i="10" a="1"/>
  <c r="L31" i="10" s="1"/>
  <c r="L27" i="10" a="1"/>
  <c r="L27" i="10" s="1"/>
  <c r="L30" i="10" a="1"/>
  <c r="L30" i="10" s="1"/>
  <c r="O28" i="10"/>
  <c r="N18" i="1" s="1"/>
  <c r="L28" i="10" a="1"/>
  <c r="L28" i="10" s="1"/>
  <c r="N13" i="10"/>
  <c r="M13" i="10"/>
  <c r="L13" i="10"/>
  <c r="O13" i="10"/>
  <c r="N23" i="9"/>
  <c r="N22" i="9"/>
  <c r="N21" i="9"/>
  <c r="N26" i="9"/>
  <c r="O26" i="9"/>
  <c r="M16" i="1" s="1"/>
  <c r="N20" i="9"/>
  <c r="L31" i="9" a="1"/>
  <c r="L31" i="9" s="1"/>
  <c r="M13" i="9"/>
  <c r="L13" i="9"/>
  <c r="O13" i="9"/>
  <c r="N13" i="9"/>
  <c r="P9" i="1"/>
  <c r="N13" i="8"/>
  <c r="O13" i="8"/>
  <c r="N20" i="8"/>
  <c r="M13" i="8" s="1"/>
  <c r="M13" i="7"/>
  <c r="N19" i="7"/>
  <c r="L13" i="7"/>
  <c r="N13" i="7"/>
  <c r="O13" i="7"/>
  <c r="O13" i="6"/>
  <c r="M13" i="6"/>
  <c r="N13" i="6"/>
  <c r="L22" i="5" a="1"/>
  <c r="N19" i="5"/>
  <c r="L19" i="5" a="1"/>
  <c r="L19" i="5" s="1"/>
  <c r="O13" i="5"/>
  <c r="N13" i="5"/>
  <c r="E14" i="14"/>
  <c r="E25" i="14" s="1"/>
  <c r="N22" i="5"/>
  <c r="L25" i="5"/>
  <c r="L13" i="5"/>
  <c r="O31" i="5"/>
  <c r="I21" i="1" s="1"/>
  <c r="L27" i="5" a="1"/>
  <c r="L27" i="5" s="1"/>
  <c r="L31" i="5" a="1"/>
  <c r="L31" i="5" s="1"/>
  <c r="O30" i="5"/>
  <c r="I20" i="1" s="1"/>
  <c r="O29" i="5"/>
  <c r="I19" i="1" s="1"/>
  <c r="O28" i="5"/>
  <c r="I18" i="1" s="1"/>
  <c r="N20" i="5"/>
  <c r="M13" i="5" s="1"/>
  <c r="L28" i="5" a="1"/>
  <c r="L28" i="5" s="1"/>
  <c r="L29" i="5" a="1"/>
  <c r="L29" i="5" s="1"/>
  <c r="L30" i="5" a="1"/>
  <c r="L30" i="5" s="1"/>
  <c r="O27" i="5"/>
  <c r="I17" i="1" s="1"/>
  <c r="O20" i="5"/>
  <c r="L21" i="5" a="1"/>
  <c r="L26" i="5"/>
  <c r="I13" i="1"/>
  <c r="I9" i="1"/>
  <c r="I12" i="1"/>
  <c r="I14" i="1"/>
  <c r="I15" i="1"/>
  <c r="I16" i="1"/>
  <c r="L24" i="5"/>
  <c r="L23" i="5"/>
  <c r="L20" i="5"/>
  <c r="D14" i="14"/>
  <c r="D25" i="14" s="1"/>
  <c r="L25" i="2" a="1"/>
  <c r="L25" i="2" s="1"/>
  <c r="O27" i="2"/>
  <c r="F17" i="1" s="1"/>
  <c r="N26" i="2"/>
  <c r="M13" i="2" s="1"/>
  <c r="L23" i="2" a="1"/>
  <c r="L23" i="2" s="1"/>
  <c r="O24" i="2"/>
  <c r="F14" i="1" s="1"/>
  <c r="L22" i="2" a="1"/>
  <c r="L22" i="2" s="1"/>
  <c r="O25" i="2"/>
  <c r="F15" i="1" s="1"/>
  <c r="L31" i="2" a="1"/>
  <c r="L31" i="2" s="1"/>
  <c r="L21" i="2" a="1"/>
  <c r="L21" i="2" s="1"/>
  <c r="L20" i="2" a="1"/>
  <c r="L20" i="2" s="1"/>
  <c r="O23" i="2"/>
  <c r="F13" i="1" s="1"/>
  <c r="L29" i="2" a="1"/>
  <c r="L29" i="2" s="1"/>
  <c r="O31" i="2"/>
  <c r="F21" i="1" s="1"/>
  <c r="L19" i="2" a="1"/>
  <c r="L19" i="2" s="1"/>
  <c r="O22" i="2"/>
  <c r="F12" i="1" s="1"/>
  <c r="L28" i="2" a="1"/>
  <c r="L28" i="2" s="1"/>
  <c r="O21" i="2"/>
  <c r="F11" i="1" s="1"/>
  <c r="L27" i="2" a="1"/>
  <c r="L27" i="2" s="1"/>
  <c r="O30" i="2"/>
  <c r="F20" i="1" s="1"/>
  <c r="O20" i="2"/>
  <c r="F10" i="1" s="1"/>
  <c r="O29" i="2"/>
  <c r="F19" i="1" s="1"/>
  <c r="L30" i="2" a="1"/>
  <c r="L30" i="2" s="1"/>
  <c r="O19" i="2"/>
  <c r="F9" i="1" s="1"/>
  <c r="L26" i="2" a="1"/>
  <c r="L26" i="2" s="1"/>
  <c r="O28" i="2"/>
  <c r="F18" i="1" s="1"/>
  <c r="L24" i="2" a="1"/>
  <c r="L24" i="2" s="1"/>
  <c r="N13" i="4"/>
  <c r="L21" i="3" a="1"/>
  <c r="N21" i="3"/>
  <c r="N20" i="3"/>
  <c r="G14" i="1"/>
  <c r="O20" i="3"/>
  <c r="G10" i="1" s="1"/>
  <c r="G12" i="1"/>
  <c r="N23" i="3"/>
  <c r="G13" i="1"/>
  <c r="L29" i="3" a="1"/>
  <c r="L29" i="3" s="1"/>
  <c r="O28" i="3"/>
  <c r="G18" i="1" s="1"/>
  <c r="G16" i="1"/>
  <c r="O31" i="3"/>
  <c r="G21" i="1" s="1"/>
  <c r="L31" i="3" a="1"/>
  <c r="L31" i="3" s="1"/>
  <c r="O30" i="3"/>
  <c r="G20" i="1" s="1"/>
  <c r="O29" i="3"/>
  <c r="G19" i="1" s="1"/>
  <c r="O27" i="3"/>
  <c r="G17" i="1" s="1"/>
  <c r="L30" i="3" a="1"/>
  <c r="L30" i="3" s="1"/>
  <c r="L27" i="3" a="1"/>
  <c r="L27" i="3" s="1"/>
  <c r="L26" i="3" a="1"/>
  <c r="L26" i="3" s="1"/>
  <c r="L28" i="3" a="1"/>
  <c r="L28" i="3" s="1"/>
  <c r="O25" i="3"/>
  <c r="G15" i="1" s="1"/>
  <c r="N19" i="3"/>
  <c r="L25" i="3" a="1"/>
  <c r="L25" i="3" s="1"/>
  <c r="L24" i="3" a="1"/>
  <c r="L24" i="3" s="1"/>
  <c r="L22" i="3" a="1"/>
  <c r="L23" i="3" a="1"/>
  <c r="O21" i="3"/>
  <c r="G11" i="1" s="1"/>
  <c r="L20" i="3" a="1"/>
  <c r="L19" i="3" a="1"/>
  <c r="L19" i="3" s="1"/>
  <c r="O13" i="3"/>
  <c r="M13" i="3"/>
  <c r="N13" i="3"/>
  <c r="L13" i="3"/>
  <c r="L22" i="5" l="1"/>
  <c r="F14" i="14"/>
  <c r="F25" i="14" s="1"/>
  <c r="I10" i="1"/>
  <c r="I11" i="1"/>
  <c r="P15" i="1"/>
  <c r="L21" i="5"/>
  <c r="P14" i="1"/>
  <c r="P18" i="1"/>
  <c r="P19" i="1"/>
  <c r="P12" i="1"/>
  <c r="P16" i="1"/>
  <c r="P17" i="1"/>
  <c r="P13" i="1"/>
  <c r="P21" i="1"/>
  <c r="P20" i="1"/>
  <c r="L21" i="3"/>
  <c r="L23" i="3"/>
  <c r="L22" i="3"/>
  <c r="L20" i="3"/>
  <c r="G9" i="1"/>
  <c r="P10" i="1" l="1"/>
  <c r="P11" i="1"/>
</calcChain>
</file>

<file path=xl/sharedStrings.xml><?xml version="1.0" encoding="utf-8"?>
<sst xmlns="http://schemas.openxmlformats.org/spreadsheetml/2006/main" count="1117" uniqueCount="218">
  <si>
    <t>Sammanställning</t>
  </si>
  <si>
    <t>Nr</t>
  </si>
  <si>
    <t>Rorsman</t>
  </si>
  <si>
    <t>Båt</t>
  </si>
  <si>
    <t>Std</t>
  </si>
  <si>
    <t>Placering i segling nummer</t>
  </si>
  <si>
    <t>Total</t>
  </si>
  <si>
    <t>Deltagit</t>
  </si>
  <si>
    <t>Plats</t>
  </si>
  <si>
    <t>LYS</t>
  </si>
  <si>
    <t>Utrust</t>
  </si>
  <si>
    <t>Poäng</t>
  </si>
  <si>
    <t>i antal</t>
  </si>
  <si>
    <t>Alla segl</t>
  </si>
  <si>
    <t>seglingar</t>
  </si>
  <si>
    <t>5 bästa</t>
  </si>
  <si>
    <t>Bästa placering = 1 poäng, Andra plats = 2 poäng, etc</t>
  </si>
  <si>
    <r>
      <t xml:space="preserve">De </t>
    </r>
    <r>
      <rPr>
        <b/>
        <sz val="10"/>
        <rFont val="Arial"/>
        <family val="2"/>
      </rPr>
      <t>fem bästa</t>
    </r>
    <r>
      <rPr>
        <sz val="10"/>
        <rFont val="Arial"/>
        <family val="2"/>
      </rPr>
      <t xml:space="preserve"> seglingarna räknas vid slutplacering. OBS: Vid </t>
    </r>
    <r>
      <rPr>
        <b/>
        <sz val="10"/>
        <rFont val="Arial"/>
        <family val="2"/>
      </rPr>
      <t>mindre än fem</t>
    </r>
    <r>
      <rPr>
        <sz val="10"/>
        <rFont val="Arial"/>
        <family val="2"/>
      </rPr>
      <t xml:space="preserve"> seglingsresultat räknas</t>
    </r>
  </si>
  <si>
    <t>Röda placeringar = Ej deltagit = Sistaplats + 1 straffpoäng</t>
  </si>
  <si>
    <r>
      <t xml:space="preserve">dock de </t>
    </r>
    <r>
      <rPr>
        <b/>
        <sz val="10"/>
        <rFont val="Arial"/>
        <family val="2"/>
      </rPr>
      <t>högsta placeringarna</t>
    </r>
    <r>
      <rPr>
        <sz val="10"/>
        <rFont val="Arial"/>
        <family val="2"/>
      </rPr>
      <t xml:space="preserve"> för saknade seglingar. Dvs att de </t>
    </r>
    <r>
      <rPr>
        <b/>
        <sz val="10"/>
        <rFont val="Arial"/>
        <family val="2"/>
      </rPr>
      <t xml:space="preserve">bästa verkliga </t>
    </r>
    <r>
      <rPr>
        <sz val="10"/>
        <rFont val="Arial"/>
        <family val="2"/>
      </rPr>
      <t>resultaten plus de</t>
    </r>
  </si>
  <si>
    <r>
      <t>sämsta</t>
    </r>
    <r>
      <rPr>
        <sz val="10"/>
        <rFont val="Arial"/>
        <family val="2"/>
      </rPr>
      <t xml:space="preserve"> av de röda placeringarna till dess att </t>
    </r>
    <r>
      <rPr>
        <b/>
        <sz val="10"/>
        <rFont val="Arial"/>
        <family val="2"/>
      </rPr>
      <t>fem resultat</t>
    </r>
    <r>
      <rPr>
        <sz val="10"/>
        <rFont val="Arial"/>
        <family val="2"/>
      </rPr>
      <t xml:space="preserve"> uppnåtts.</t>
    </r>
  </si>
  <si>
    <t>= Resultat räknade i totalplacering</t>
  </si>
  <si>
    <t>Vid lika slutpoäng räknas flest antal 1:a platser, 2:a platser; 3:e platser, osv tills skillnad uppstår.</t>
  </si>
  <si>
    <t>Om det efter detta fortfarande är lika mellan två eller fler båtar räknas det innebördes resultatet</t>
  </si>
  <si>
    <r>
      <t xml:space="preserve"> i den </t>
    </r>
    <r>
      <rPr>
        <b/>
        <sz val="10"/>
        <rFont val="Arial"/>
        <family val="2"/>
      </rPr>
      <t>sista</t>
    </r>
    <r>
      <rPr>
        <sz val="10"/>
        <rFont val="Arial"/>
        <family val="2"/>
      </rPr>
      <t xml:space="preserve"> (10:e) seglingen, </t>
    </r>
    <r>
      <rPr>
        <b/>
        <sz val="10"/>
        <rFont val="Arial"/>
        <family val="2"/>
      </rPr>
      <t>även</t>
    </r>
    <r>
      <rPr>
        <sz val="10"/>
        <rFont val="Arial"/>
        <family val="2"/>
      </rPr>
      <t xml:space="preserve"> om detta resultat inte utnyttjats i totalpoängen.</t>
    </r>
  </si>
  <si>
    <t>Seglingsprotokoll 1</t>
  </si>
  <si>
    <t>Segling nummer:</t>
  </si>
  <si>
    <t>Aktuell bana:</t>
  </si>
  <si>
    <t>Vindförhållanden</t>
  </si>
  <si>
    <t>Tävlingsledare:</t>
  </si>
  <si>
    <t>Banlängd:</t>
  </si>
  <si>
    <t>(Nm)</t>
  </si>
  <si>
    <t>Riktning</t>
  </si>
  <si>
    <t>Datum:</t>
  </si>
  <si>
    <t>Möjliga</t>
  </si>
  <si>
    <t>Startlinje boj:</t>
  </si>
  <si>
    <t>A</t>
  </si>
  <si>
    <t>Styrka</t>
  </si>
  <si>
    <t>(m/s)</t>
  </si>
  <si>
    <t>Starttid:</t>
  </si>
  <si>
    <t>rundningsmärken</t>
  </si>
  <si>
    <t>Anm</t>
  </si>
  <si>
    <t>Fart och seglingstid</t>
  </si>
  <si>
    <t>Segling genomförd</t>
  </si>
  <si>
    <t>Björköarna:</t>
  </si>
  <si>
    <t>D</t>
  </si>
  <si>
    <t>Fart</t>
  </si>
  <si>
    <t>(knop)</t>
  </si>
  <si>
    <t>Tid</t>
  </si>
  <si>
    <t>(min)</t>
  </si>
  <si>
    <t>Kanotklubben</t>
  </si>
  <si>
    <t>E</t>
  </si>
  <si>
    <t>Verkl</t>
  </si>
  <si>
    <t>Evedalviken Öst</t>
  </si>
  <si>
    <t>F</t>
  </si>
  <si>
    <t>Antagen</t>
  </si>
  <si>
    <t>Aktuell</t>
  </si>
  <si>
    <t>Gast 1</t>
  </si>
  <si>
    <t>Gast 2</t>
  </si>
  <si>
    <t>Akt</t>
  </si>
  <si>
    <t>Utr</t>
  </si>
  <si>
    <t>Starttid</t>
  </si>
  <si>
    <t>Målgång</t>
  </si>
  <si>
    <t>Seglad</t>
  </si>
  <si>
    <t>Korri-</t>
  </si>
  <si>
    <t>Tids</t>
  </si>
  <si>
    <t>Plac</t>
  </si>
  <si>
    <t>SRS</t>
  </si>
  <si>
    <t>Korr</t>
  </si>
  <si>
    <t>gerad</t>
  </si>
  <si>
    <t>Diff</t>
  </si>
  <si>
    <t>Medel</t>
  </si>
  <si>
    <t>SGF</t>
  </si>
  <si>
    <t>(hh:mm:ss)</t>
  </si>
  <si>
    <t>(sek)</t>
  </si>
  <si>
    <t>Seglingsprotokoll 2</t>
  </si>
  <si>
    <t>Seglingsprotokoll 3</t>
  </si>
  <si>
    <t>Seglingsprotokoll 4</t>
  </si>
  <si>
    <t>Seglingsprotokoll 5</t>
  </si>
  <si>
    <t>Seglingsprotokoll 6</t>
  </si>
  <si>
    <t>Seglingsprotokoll 7</t>
  </si>
  <si>
    <t>Seglingsprotokoll 8</t>
  </si>
  <si>
    <t>Seglingsprotokoll 9</t>
  </si>
  <si>
    <t>Seglingsprotokoll 10</t>
  </si>
  <si>
    <t>Bansträckningar</t>
  </si>
  <si>
    <t>Startlinje:</t>
  </si>
  <si>
    <t>rundnings</t>
  </si>
  <si>
    <t>märken</t>
  </si>
  <si>
    <t>Märken</t>
  </si>
  <si>
    <t>Distans</t>
  </si>
  <si>
    <t>Seglingstid vid</t>
  </si>
  <si>
    <t>Från</t>
  </si>
  <si>
    <t>Till</t>
  </si>
  <si>
    <t>1 Kn</t>
  </si>
  <si>
    <t>2 Kn</t>
  </si>
  <si>
    <t>3 Kn</t>
  </si>
  <si>
    <t>4 Kn</t>
  </si>
  <si>
    <t>5 Kn</t>
  </si>
  <si>
    <t>(m)</t>
  </si>
  <si>
    <t>Seglingsprotokoll för Torsdagscupen</t>
  </si>
  <si>
    <t>Behåll protokollet och ta med till nästa segling</t>
  </si>
  <si>
    <t>Std LYS</t>
  </si>
  <si>
    <t>Segling</t>
  </si>
  <si>
    <t>Datum</t>
  </si>
  <si>
    <t>Akt LYS</t>
  </si>
  <si>
    <t>Bana</t>
  </si>
  <si>
    <t>TC 1</t>
  </si>
  <si>
    <t>Gastar/Övrigt</t>
  </si>
  <si>
    <t>TC 2</t>
  </si>
  <si>
    <t>TC 3</t>
  </si>
  <si>
    <t>TC 4</t>
  </si>
  <si>
    <t>TC 5</t>
  </si>
  <si>
    <t>TC 6</t>
  </si>
  <si>
    <t>TC 7</t>
  </si>
  <si>
    <t>TC 8</t>
  </si>
  <si>
    <t>TC 9</t>
  </si>
  <si>
    <t>TC 10</t>
  </si>
  <si>
    <t>Seglad tid för vinnaren</t>
  </si>
  <si>
    <t>Rorsmän</t>
  </si>
  <si>
    <t>Gastar</t>
  </si>
  <si>
    <t>Summa</t>
  </si>
  <si>
    <t>Seglad Tid</t>
  </si>
  <si>
    <t>Augustinatten</t>
  </si>
  <si>
    <t>Pegasus</t>
  </si>
  <si>
    <t>Distansen</t>
  </si>
  <si>
    <t>GK</t>
  </si>
  <si>
    <t>KM</t>
  </si>
  <si>
    <t>PG</t>
  </si>
  <si>
    <t>AN</t>
  </si>
  <si>
    <t>DK</t>
  </si>
  <si>
    <t>TC</t>
  </si>
  <si>
    <t>Protokoll till pärmen</t>
  </si>
  <si>
    <t>HSS Torsdagscup 2017</t>
  </si>
  <si>
    <t>Söder Appelö</t>
  </si>
  <si>
    <t>G</t>
  </si>
  <si>
    <t>Evedalsviken Öst</t>
  </si>
  <si>
    <t>Torbjörn Herbertsson</t>
  </si>
  <si>
    <t>Jan-Erik Jonsson</t>
  </si>
  <si>
    <t>HSS Torsdagscup 2026</t>
  </si>
  <si>
    <t>21/5</t>
  </si>
  <si>
    <t>28/5</t>
  </si>
  <si>
    <t>4/6</t>
  </si>
  <si>
    <t>11/6</t>
  </si>
  <si>
    <t>25/6</t>
  </si>
  <si>
    <t>6/8</t>
  </si>
  <si>
    <t>13/8</t>
  </si>
  <si>
    <t>20/8</t>
  </si>
  <si>
    <t>27/8</t>
  </si>
  <si>
    <t>3/9</t>
  </si>
  <si>
    <t>Staffan Kerker</t>
  </si>
  <si>
    <t>Korrigerad tid</t>
  </si>
  <si>
    <t>Tobjörn Herbertsson</t>
  </si>
  <si>
    <t>Urban Thim</t>
  </si>
  <si>
    <t>707U</t>
  </si>
  <si>
    <t>Lars Berglund</t>
  </si>
  <si>
    <t>Maxi Magic</t>
  </si>
  <si>
    <t>Ingmar Olsson</t>
  </si>
  <si>
    <t>Avanti</t>
  </si>
  <si>
    <t>Erik Andersson</t>
  </si>
  <si>
    <t>Elan 210</t>
  </si>
  <si>
    <t>Rickard Magnusson</t>
  </si>
  <si>
    <t>Håkan Stödberg</t>
  </si>
  <si>
    <t>Anders Nilsson</t>
  </si>
  <si>
    <t>Claes Johansson</t>
  </si>
  <si>
    <t>-</t>
  </si>
  <si>
    <t>Thomas Peterson</t>
  </si>
  <si>
    <t>Rosita Alkrot</t>
  </si>
  <si>
    <t>JA</t>
  </si>
  <si>
    <t>NV</t>
  </si>
  <si>
    <t>2-6</t>
  </si>
  <si>
    <t>Oväder/Regn/Åska sedan fint</t>
  </si>
  <si>
    <t>A-D-F-D-E-A</t>
  </si>
  <si>
    <t>A-D-G-F-D-E-A-E-A</t>
  </si>
  <si>
    <t>N</t>
  </si>
  <si>
    <t>3-7</t>
  </si>
  <si>
    <t>Sol!</t>
  </si>
  <si>
    <t>Rcikard Magnusson</t>
  </si>
  <si>
    <t>DNF</t>
  </si>
  <si>
    <t>DNS</t>
  </si>
  <si>
    <t>Christer Notini</t>
  </si>
  <si>
    <t>Magnus Nilsson</t>
  </si>
  <si>
    <t>Viggen</t>
  </si>
  <si>
    <t>A-E-F-D-G-E-F-A</t>
  </si>
  <si>
    <t>S</t>
  </si>
  <si>
    <t>5-10</t>
  </si>
  <si>
    <t>Ja</t>
  </si>
  <si>
    <t>A-E-D-E-F-A</t>
  </si>
  <si>
    <t>0-5</t>
  </si>
  <si>
    <t>Regn, åska</t>
  </si>
  <si>
    <t>A-D-F-D-A-E-A</t>
  </si>
  <si>
    <t>V / NV</t>
  </si>
  <si>
    <t>2-7</t>
  </si>
  <si>
    <t>Sol, varmt och vackert!</t>
  </si>
  <si>
    <t>Rostia Alkrot</t>
  </si>
  <si>
    <t>Felix Kelemit</t>
  </si>
  <si>
    <t>Lasse Husberg</t>
  </si>
  <si>
    <t>Rickard Magnussn</t>
  </si>
  <si>
    <t>Håkan Karlsson</t>
  </si>
  <si>
    <t>A-F-D-E-G-D-A-E-A</t>
  </si>
  <si>
    <t>V</t>
  </si>
  <si>
    <t>5-12</t>
  </si>
  <si>
    <t>Byigt, sol, fint</t>
  </si>
  <si>
    <t>A-D-E-D-F-A</t>
  </si>
  <si>
    <t>NV / V</t>
  </si>
  <si>
    <t>2-5</t>
  </si>
  <si>
    <t>Sol, fint</t>
  </si>
  <si>
    <t>Kent-Åke Larsson</t>
  </si>
  <si>
    <t>Olivia Thim</t>
  </si>
  <si>
    <t>Segelbåtsektionen</t>
  </si>
  <si>
    <t>A-E-F-A-D-F-E-F-A</t>
  </si>
  <si>
    <t>Paradsegling, vridigt</t>
  </si>
  <si>
    <t>Staffan Lothsson</t>
  </si>
  <si>
    <t>Krister Notini</t>
  </si>
  <si>
    <t>Jonas Wahlgrenn</t>
  </si>
  <si>
    <t>A-E-F-D-G-F-E-A</t>
  </si>
  <si>
    <t>Fredrik Nilsson</t>
  </si>
  <si>
    <t>Guldkusten</t>
  </si>
  <si>
    <t>Klubbmästerskap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</si>
</sst>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0;;"/>
    <numFmt numFmtId="165" formatCode="0.0000000"/>
    <numFmt numFmtId="166" formatCode="0.0"/>
    <numFmt numFmtId="167" formatCode="0.0;;"/>
    <numFmt numFmtId="168" formatCode="hh:mm:ss;;"/>
    <numFmt numFmtId="169" formatCode="0;;0"/>
    <numFmt numFmtId="170" formatCode="0.00;;"/>
    <numFmt numFmtId="171" formatCode="hh:mm:ss;@"/>
    <numFmt numFmtId="172" formatCode="dd\ hh:mm:ss"/>
    <numFmt numFmtId="173" formatCode="0.000"/>
  </numFmts>
  <fonts count="18" x14ac:knownFonts="1">
    <font>
      <sz val="8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sz val="12"/>
      <name val="Arial"/>
      <family val="2"/>
    </font>
    <font>
      <sz val="18"/>
      <name val="Arial"/>
      <family val="2"/>
    </font>
    <font>
      <b/>
      <sz val="8"/>
      <name val="Arial"/>
      <family val="2"/>
    </font>
    <font>
      <sz val="6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91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medium">
        <color indexed="63"/>
      </top>
      <bottom/>
      <diagonal/>
    </border>
    <border>
      <left/>
      <right style="thin">
        <color indexed="63"/>
      </right>
      <top style="medium">
        <color indexed="63"/>
      </top>
      <bottom/>
      <diagonal/>
    </border>
    <border>
      <left style="thin">
        <color indexed="63"/>
      </left>
      <right style="thin">
        <color indexed="63"/>
      </right>
      <top style="medium">
        <color indexed="63"/>
      </top>
      <bottom/>
      <diagonal/>
    </border>
    <border>
      <left style="thin">
        <color indexed="63"/>
      </left>
      <right/>
      <top style="medium">
        <color indexed="63"/>
      </top>
      <bottom/>
      <diagonal/>
    </border>
    <border>
      <left/>
      <right/>
      <top style="medium">
        <color indexed="63"/>
      </top>
      <bottom/>
      <diagonal/>
    </border>
    <border>
      <left style="thin">
        <color indexed="63"/>
      </left>
      <right style="medium">
        <color indexed="63"/>
      </right>
      <top style="medium">
        <color indexed="63"/>
      </top>
      <bottom/>
      <diagonal/>
    </border>
    <border>
      <left style="medium">
        <color indexed="63"/>
      </left>
      <right style="thin">
        <color indexed="63"/>
      </right>
      <top/>
      <bottom/>
      <diagonal/>
    </border>
    <border>
      <left/>
      <right style="thin">
        <color indexed="63"/>
      </right>
      <top/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 style="medium">
        <color indexed="63"/>
      </right>
      <top/>
      <bottom/>
      <diagonal/>
    </border>
    <border>
      <left style="medium">
        <color indexed="63"/>
      </left>
      <right style="thin">
        <color indexed="63"/>
      </right>
      <top/>
      <bottom style="medium">
        <color indexed="63"/>
      </bottom>
      <diagonal/>
    </border>
    <border>
      <left/>
      <right style="thin">
        <color indexed="63"/>
      </right>
      <top/>
      <bottom style="medium">
        <color indexed="63"/>
      </bottom>
      <diagonal/>
    </border>
    <border>
      <left style="thin">
        <color indexed="63"/>
      </left>
      <right style="thin">
        <color indexed="63"/>
      </right>
      <top/>
      <bottom style="medium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/>
      <top/>
      <bottom style="medium">
        <color indexed="63"/>
      </bottom>
      <diagonal/>
    </border>
    <border>
      <left style="thin">
        <color indexed="63"/>
      </left>
      <right style="medium">
        <color indexed="63"/>
      </right>
      <top/>
      <bottom style="medium">
        <color indexed="63"/>
      </bottom>
      <diagonal/>
    </border>
    <border>
      <left style="medium">
        <color indexed="63"/>
      </left>
      <right style="thin">
        <color indexed="63"/>
      </right>
      <top style="medium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medium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medium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medium">
        <color indexed="63"/>
      </bottom>
      <diagonal/>
    </border>
    <border>
      <left style="medium">
        <color indexed="63"/>
      </left>
      <right/>
      <top style="medium">
        <color indexed="63"/>
      </top>
      <bottom style="thin">
        <color indexed="63"/>
      </bottom>
      <diagonal/>
    </border>
    <border>
      <left/>
      <right style="thin">
        <color indexed="63"/>
      </right>
      <top style="medium">
        <color indexed="63"/>
      </top>
      <bottom style="thin">
        <color indexed="63"/>
      </bottom>
      <diagonal/>
    </border>
    <border>
      <left/>
      <right/>
      <top style="medium">
        <color indexed="63"/>
      </top>
      <bottom style="thin">
        <color indexed="63"/>
      </bottom>
      <diagonal/>
    </border>
    <border>
      <left style="thin">
        <color indexed="63"/>
      </left>
      <right/>
      <top style="medium">
        <color indexed="63"/>
      </top>
      <bottom style="thin">
        <color indexed="63"/>
      </bottom>
      <diagonal/>
    </border>
    <border>
      <left/>
      <right style="medium">
        <color indexed="63"/>
      </right>
      <top style="medium">
        <color indexed="63"/>
      </top>
      <bottom/>
      <diagonal/>
    </border>
    <border>
      <left style="medium">
        <color indexed="63"/>
      </left>
      <right/>
      <top style="medium">
        <color indexed="63"/>
      </top>
      <bottom style="medium">
        <color indexed="63"/>
      </bottom>
      <diagonal/>
    </border>
    <border>
      <left/>
      <right/>
      <top style="medium">
        <color indexed="63"/>
      </top>
      <bottom style="medium">
        <color indexed="63"/>
      </bottom>
      <diagonal/>
    </border>
    <border>
      <left/>
      <right style="medium">
        <color indexed="63"/>
      </right>
      <top style="medium">
        <color indexed="63"/>
      </top>
      <bottom style="medium">
        <color indexed="63"/>
      </bottom>
      <diagonal/>
    </border>
    <border>
      <left style="medium">
        <color indexed="63"/>
      </left>
      <right/>
      <top/>
      <bottom style="thin">
        <color indexed="63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medium">
        <color indexed="63"/>
      </left>
      <right/>
      <top/>
      <bottom style="medium">
        <color indexed="63"/>
      </bottom>
      <diagonal/>
    </border>
    <border>
      <left/>
      <right/>
      <top/>
      <bottom style="medium">
        <color indexed="63"/>
      </bottom>
      <diagonal/>
    </border>
    <border>
      <left style="thin">
        <color indexed="63"/>
      </left>
      <right/>
      <top style="thin">
        <color indexed="63"/>
      </top>
      <bottom style="medium">
        <color indexed="63"/>
      </bottom>
      <diagonal/>
    </border>
    <border>
      <left/>
      <right/>
      <top style="thin">
        <color indexed="63"/>
      </top>
      <bottom style="medium">
        <color indexed="63"/>
      </bottom>
      <diagonal/>
    </border>
    <border>
      <left/>
      <right style="medium">
        <color indexed="63"/>
      </right>
      <top style="thin">
        <color indexed="63"/>
      </top>
      <bottom style="medium">
        <color indexed="63"/>
      </bottom>
      <diagonal/>
    </border>
    <border>
      <left style="medium">
        <color indexed="63"/>
      </left>
      <right/>
      <top style="medium">
        <color indexed="63"/>
      </top>
      <bottom/>
      <diagonal/>
    </border>
    <border>
      <left style="medium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medium">
        <color indexed="63"/>
      </right>
      <top style="medium">
        <color indexed="63"/>
      </top>
      <bottom style="thin">
        <color indexed="63"/>
      </bottom>
      <diagonal/>
    </border>
    <border>
      <left style="medium">
        <color indexed="63"/>
      </left>
      <right/>
      <top/>
      <bottom/>
      <diagonal/>
    </border>
    <border>
      <left/>
      <right style="medium">
        <color indexed="63"/>
      </right>
      <top/>
      <bottom/>
      <diagonal/>
    </border>
    <border>
      <left style="medium">
        <color indexed="63"/>
      </left>
      <right/>
      <top style="thin">
        <color indexed="63"/>
      </top>
      <bottom style="medium">
        <color indexed="63"/>
      </bottom>
      <diagonal/>
    </border>
    <border>
      <left/>
      <right style="thin">
        <color indexed="63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medium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/>
      <top style="thin">
        <color indexed="63"/>
      </top>
      <bottom/>
      <diagonal/>
    </border>
    <border>
      <left/>
      <right style="medium">
        <color indexed="63"/>
      </right>
      <top style="thin">
        <color indexed="63"/>
      </top>
      <bottom/>
      <diagonal/>
    </border>
    <border>
      <left/>
      <right style="medium">
        <color indexed="63"/>
      </right>
      <top/>
      <bottom style="medium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medium">
        <color indexed="63"/>
      </left>
      <right/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/>
      <bottom/>
      <diagonal/>
    </border>
    <border>
      <left/>
      <right/>
      <top/>
      <bottom style="thin">
        <color indexed="63"/>
      </bottom>
      <diagonal/>
    </border>
    <border>
      <left style="medium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medium">
        <color indexed="63"/>
      </right>
      <top/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medium">
        <color indexed="63"/>
      </left>
      <right/>
      <top/>
      <bottom style="thin">
        <color indexed="64"/>
      </bottom>
      <diagonal/>
    </border>
    <border>
      <left/>
      <right style="thin">
        <color indexed="63"/>
      </right>
      <top/>
      <bottom style="thin">
        <color indexed="64"/>
      </bottom>
      <diagonal/>
    </border>
    <border>
      <left style="thin">
        <color indexed="63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3"/>
      </right>
      <top style="medium">
        <color indexed="64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medium">
        <color indexed="64"/>
      </top>
      <bottom style="thin">
        <color indexed="63"/>
      </bottom>
      <diagonal/>
    </border>
    <border>
      <left style="thin">
        <color indexed="63"/>
      </left>
      <right style="medium">
        <color indexed="64"/>
      </right>
      <top style="medium">
        <color indexed="64"/>
      </top>
      <bottom style="thin">
        <color indexed="63"/>
      </bottom>
      <diagonal/>
    </border>
    <border>
      <left style="medium">
        <color indexed="64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 style="medium">
        <color indexed="64"/>
      </bottom>
      <diagonal/>
    </border>
    <border>
      <left style="medium">
        <color indexed="63"/>
      </left>
      <right style="medium">
        <color indexed="63"/>
      </right>
      <top style="medium">
        <color indexed="63"/>
      </top>
      <bottom style="medium">
        <color indexed="63"/>
      </bottom>
      <diagonal/>
    </border>
    <border>
      <left style="medium">
        <color indexed="64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 style="thin">
        <color indexed="64"/>
      </bottom>
      <diagonal/>
    </border>
    <border>
      <left style="medium">
        <color indexed="64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medium">
        <color indexed="64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" fontId="1" fillId="0" borderId="0" xfId="0" applyNumberFormat="1" applyFont="1"/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4" fillId="0" borderId="1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" fillId="0" borderId="12" xfId="0" applyFont="1" applyBorder="1"/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0" fontId="1" fillId="0" borderId="14" xfId="0" applyFont="1" applyBorder="1" applyAlignment="1">
      <alignment horizontal="center"/>
    </xf>
    <xf numFmtId="0" fontId="1" fillId="0" borderId="14" xfId="0" applyFont="1" applyBorder="1" applyAlignment="1">
      <alignment horizontal="right"/>
    </xf>
    <xf numFmtId="49" fontId="1" fillId="0" borderId="15" xfId="0" applyNumberFormat="1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1" fillId="0" borderId="18" xfId="0" applyFont="1" applyBorder="1"/>
    <xf numFmtId="0" fontId="1" fillId="0" borderId="19" xfId="0" applyFont="1" applyBorder="1"/>
    <xf numFmtId="0" fontId="1" fillId="0" borderId="19" xfId="0" applyFont="1" applyBorder="1" applyAlignment="1">
      <alignment horizontal="left"/>
    </xf>
    <xf numFmtId="164" fontId="4" fillId="0" borderId="19" xfId="0" applyNumberFormat="1" applyFont="1" applyBorder="1" applyAlignment="1">
      <alignment horizontal="center"/>
    </xf>
    <xf numFmtId="164" fontId="1" fillId="0" borderId="1" xfId="0" applyNumberFormat="1" applyFont="1" applyBorder="1"/>
    <xf numFmtId="1" fontId="1" fillId="0" borderId="19" xfId="0" applyNumberFormat="1" applyFont="1" applyBorder="1"/>
    <xf numFmtId="164" fontId="1" fillId="0" borderId="19" xfId="0" applyNumberFormat="1" applyFont="1" applyBorder="1"/>
    <xf numFmtId="164" fontId="5" fillId="0" borderId="20" xfId="0" applyNumberFormat="1" applyFont="1" applyBorder="1" applyAlignment="1">
      <alignment horizontal="center"/>
    </xf>
    <xf numFmtId="0" fontId="1" fillId="0" borderId="2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/>
    <xf numFmtId="164" fontId="4" fillId="0" borderId="1" xfId="0" applyNumberFormat="1" applyFont="1" applyBorder="1" applyAlignment="1">
      <alignment horizontal="center"/>
    </xf>
    <xf numFmtId="1" fontId="1" fillId="0" borderId="1" xfId="0" applyNumberFormat="1" applyFont="1" applyBorder="1"/>
    <xf numFmtId="164" fontId="5" fillId="0" borderId="22" xfId="0" applyNumberFormat="1" applyFont="1" applyBorder="1" applyAlignment="1">
      <alignment horizontal="center"/>
    </xf>
    <xf numFmtId="164" fontId="1" fillId="0" borderId="0" xfId="0" applyNumberFormat="1" applyFont="1"/>
    <xf numFmtId="0" fontId="1" fillId="0" borderId="1" xfId="0" applyFont="1" applyBorder="1" applyAlignment="1">
      <alignment horizontal="center"/>
    </xf>
    <xf numFmtId="0" fontId="1" fillId="0" borderId="23" xfId="0" applyFont="1" applyBorder="1"/>
    <xf numFmtId="0" fontId="1" fillId="0" borderId="15" xfId="0" applyFont="1" applyBorder="1"/>
    <xf numFmtId="0" fontId="1" fillId="0" borderId="15" xfId="0" applyFont="1" applyBorder="1" applyAlignment="1">
      <alignment horizontal="left"/>
    </xf>
    <xf numFmtId="2" fontId="1" fillId="0" borderId="15" xfId="0" applyNumberFormat="1" applyFont="1" applyBorder="1"/>
    <xf numFmtId="0" fontId="1" fillId="0" borderId="15" xfId="0" applyFont="1" applyBorder="1" applyAlignment="1">
      <alignment horizontal="center"/>
    </xf>
    <xf numFmtId="164" fontId="6" fillId="0" borderId="15" xfId="0" applyNumberFormat="1" applyFont="1" applyBorder="1" applyAlignment="1">
      <alignment horizontal="center"/>
    </xf>
    <xf numFmtId="164" fontId="1" fillId="0" borderId="15" xfId="0" applyNumberFormat="1" applyFont="1" applyBorder="1"/>
    <xf numFmtId="1" fontId="1" fillId="0" borderId="15" xfId="0" applyNumberFormat="1" applyFont="1" applyBorder="1"/>
    <xf numFmtId="164" fontId="5" fillId="0" borderId="24" xfId="0" applyNumberFormat="1" applyFont="1" applyBorder="1" applyAlignment="1">
      <alignment horizontal="center"/>
    </xf>
    <xf numFmtId="21" fontId="1" fillId="0" borderId="0" xfId="0" applyNumberFormat="1" applyFont="1"/>
    <xf numFmtId="0" fontId="7" fillId="0" borderId="0" xfId="0" applyFont="1"/>
    <xf numFmtId="0" fontId="4" fillId="0" borderId="0" xfId="0" applyFont="1"/>
    <xf numFmtId="165" fontId="1" fillId="0" borderId="0" xfId="0" applyNumberFormat="1" applyFont="1"/>
    <xf numFmtId="0" fontId="1" fillId="2" borderId="1" xfId="0" applyFont="1" applyFill="1" applyBorder="1"/>
    <xf numFmtId="0" fontId="8" fillId="0" borderId="0" xfId="0" applyFont="1"/>
    <xf numFmtId="0" fontId="4" fillId="0" borderId="25" xfId="0" applyFont="1" applyBorder="1"/>
    <xf numFmtId="0" fontId="1" fillId="0" borderId="26" xfId="0" applyFont="1" applyBorder="1"/>
    <xf numFmtId="0" fontId="4" fillId="0" borderId="25" xfId="0" applyFont="1" applyBorder="1" applyAlignment="1">
      <alignment horizontal="left"/>
    </xf>
    <xf numFmtId="0" fontId="1" fillId="0" borderId="27" xfId="0" applyFont="1" applyBorder="1"/>
    <xf numFmtId="0" fontId="1" fillId="0" borderId="28" xfId="0" applyFont="1" applyBorder="1"/>
    <xf numFmtId="2" fontId="1" fillId="0" borderId="6" xfId="0" applyNumberFormat="1" applyFont="1" applyBorder="1" applyAlignment="1">
      <alignment horizontal="center"/>
    </xf>
    <xf numFmtId="0" fontId="1" fillId="0" borderId="29" xfId="0" applyFont="1" applyBorder="1"/>
    <xf numFmtId="0" fontId="4" fillId="0" borderId="30" xfId="0" applyFont="1" applyBorder="1"/>
    <xf numFmtId="0" fontId="1" fillId="0" borderId="31" xfId="0" applyFont="1" applyBorder="1"/>
    <xf numFmtId="0" fontId="1" fillId="0" borderId="32" xfId="0" applyFont="1" applyBorder="1" applyAlignment="1">
      <alignment horizontal="right"/>
    </xf>
    <xf numFmtId="0" fontId="4" fillId="0" borderId="33" xfId="0" applyFont="1" applyBorder="1"/>
    <xf numFmtId="0" fontId="1" fillId="0" borderId="34" xfId="0" applyFont="1" applyBorder="1"/>
    <xf numFmtId="0" fontId="4" fillId="0" borderId="35" xfId="0" applyFont="1" applyBorder="1" applyAlignment="1">
      <alignment horizontal="left"/>
    </xf>
    <xf numFmtId="0" fontId="1" fillId="0" borderId="36" xfId="0" applyFont="1" applyBorder="1"/>
    <xf numFmtId="2" fontId="1" fillId="0" borderId="37" xfId="0" applyNumberFormat="1" applyFont="1" applyBorder="1"/>
    <xf numFmtId="2" fontId="1" fillId="0" borderId="38" xfId="0" applyNumberFormat="1" applyFont="1" applyBorder="1"/>
    <xf numFmtId="166" fontId="1" fillId="0" borderId="39" xfId="0" applyNumberFormat="1" applyFont="1" applyBorder="1" applyAlignment="1">
      <alignment horizontal="center"/>
    </xf>
    <xf numFmtId="0" fontId="4" fillId="0" borderId="40" xfId="0" applyFont="1" applyBorder="1"/>
    <xf numFmtId="0" fontId="4" fillId="0" borderId="41" xfId="0" applyFont="1" applyBorder="1"/>
    <xf numFmtId="0" fontId="1" fillId="0" borderId="42" xfId="0" applyFont="1" applyBorder="1"/>
    <xf numFmtId="0" fontId="4" fillId="0" borderId="40" xfId="0" applyFont="1" applyBorder="1" applyAlignment="1">
      <alignment horizontal="left"/>
    </xf>
    <xf numFmtId="0" fontId="1" fillId="0" borderId="6" xfId="0" applyFont="1" applyBorder="1"/>
    <xf numFmtId="0" fontId="1" fillId="0" borderId="43" xfId="0" applyFont="1" applyBorder="1" applyAlignment="1">
      <alignment horizontal="center"/>
    </xf>
    <xf numFmtId="0" fontId="4" fillId="0" borderId="44" xfId="0" applyFont="1" applyBorder="1"/>
    <xf numFmtId="0" fontId="1" fillId="0" borderId="45" xfId="0" applyFont="1" applyBorder="1" applyAlignment="1">
      <alignment horizontal="right"/>
    </xf>
    <xf numFmtId="0" fontId="4" fillId="0" borderId="46" xfId="0" applyFont="1" applyBorder="1"/>
    <xf numFmtId="0" fontId="1" fillId="0" borderId="47" xfId="0" applyFont="1" applyBorder="1"/>
    <xf numFmtId="0" fontId="4" fillId="0" borderId="44" xfId="0" applyFont="1" applyBorder="1" applyAlignment="1">
      <alignment horizontal="left"/>
    </xf>
    <xf numFmtId="0" fontId="1" fillId="0" borderId="48" xfId="0" applyFont="1" applyBorder="1"/>
    <xf numFmtId="0" fontId="1" fillId="0" borderId="49" xfId="0" applyFont="1" applyBorder="1"/>
    <xf numFmtId="0" fontId="1" fillId="0" borderId="50" xfId="0" applyFont="1" applyBorder="1" applyAlignment="1">
      <alignment horizontal="center"/>
    </xf>
    <xf numFmtId="0" fontId="4" fillId="0" borderId="35" xfId="0" applyFont="1" applyBorder="1"/>
    <xf numFmtId="0" fontId="1" fillId="0" borderId="44" xfId="0" applyFont="1" applyBorder="1" applyAlignment="1">
      <alignment horizontal="left"/>
    </xf>
    <xf numFmtId="166" fontId="1" fillId="0" borderId="27" xfId="0" applyNumberFormat="1" applyFont="1" applyBorder="1"/>
    <xf numFmtId="0" fontId="1" fillId="0" borderId="43" xfId="0" applyFont="1" applyBorder="1" applyAlignment="1">
      <alignment horizontal="right"/>
    </xf>
    <xf numFmtId="0" fontId="1" fillId="0" borderId="44" xfId="0" applyFont="1" applyBorder="1"/>
    <xf numFmtId="0" fontId="4" fillId="0" borderId="51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52" xfId="0" applyFont="1" applyBorder="1" applyAlignment="1">
      <alignment horizontal="center"/>
    </xf>
    <xf numFmtId="0" fontId="1" fillId="0" borderId="53" xfId="0" applyFont="1" applyBorder="1"/>
    <xf numFmtId="0" fontId="1" fillId="0" borderId="54" xfId="0" applyFont="1" applyBorder="1"/>
    <xf numFmtId="0" fontId="1" fillId="0" borderId="55" xfId="0" applyFont="1" applyBorder="1" applyAlignment="1">
      <alignment horizontal="center"/>
    </xf>
    <xf numFmtId="0" fontId="1" fillId="0" borderId="35" xfId="0" applyFont="1" applyBorder="1"/>
    <xf numFmtId="0" fontId="4" fillId="0" borderId="56" xfId="0" applyFont="1" applyBorder="1" applyAlignment="1">
      <alignment horizontal="center"/>
    </xf>
    <xf numFmtId="167" fontId="1" fillId="0" borderId="57" xfId="0" applyNumberFormat="1" applyFont="1" applyBorder="1"/>
    <xf numFmtId="166" fontId="1" fillId="0" borderId="34" xfId="0" applyNumberFormat="1" applyFont="1" applyBorder="1"/>
    <xf numFmtId="164" fontId="1" fillId="0" borderId="57" xfId="0" applyNumberFormat="1" applyFont="1" applyBorder="1"/>
    <xf numFmtId="164" fontId="1" fillId="0" borderId="52" xfId="0" applyNumberFormat="1" applyFont="1" applyBorder="1"/>
    <xf numFmtId="166" fontId="1" fillId="0" borderId="0" xfId="0" applyNumberFormat="1" applyFont="1"/>
    <xf numFmtId="0" fontId="1" fillId="0" borderId="35" xfId="0" applyFont="1" applyBorder="1" applyAlignment="1">
      <alignment horizontal="left"/>
    </xf>
    <xf numFmtId="0" fontId="1" fillId="0" borderId="37" xfId="0" applyFont="1" applyBorder="1"/>
    <xf numFmtId="0" fontId="1" fillId="0" borderId="38" xfId="0" applyFont="1" applyBorder="1"/>
    <xf numFmtId="0" fontId="1" fillId="0" borderId="39" xfId="0" applyFont="1" applyBorder="1" applyAlignment="1">
      <alignment horizontal="center"/>
    </xf>
    <xf numFmtId="167" fontId="1" fillId="0" borderId="15" xfId="0" applyNumberFormat="1" applyFont="1" applyBorder="1"/>
    <xf numFmtId="164" fontId="1" fillId="0" borderId="24" xfId="0" applyNumberFormat="1" applyFont="1" applyBorder="1"/>
    <xf numFmtId="0" fontId="1" fillId="0" borderId="8" xfId="0" applyFont="1" applyBorder="1"/>
    <xf numFmtId="0" fontId="1" fillId="0" borderId="10" xfId="0" applyFont="1" applyBorder="1" applyAlignment="1">
      <alignment horizontal="center"/>
    </xf>
    <xf numFmtId="168" fontId="1" fillId="0" borderId="19" xfId="0" applyNumberFormat="1" applyFont="1" applyBorder="1"/>
    <xf numFmtId="170" fontId="1" fillId="0" borderId="19" xfId="0" applyNumberFormat="1" applyFont="1" applyBorder="1"/>
    <xf numFmtId="164" fontId="4" fillId="0" borderId="20" xfId="0" applyNumberFormat="1" applyFont="1" applyBorder="1" applyAlignment="1">
      <alignment horizontal="center"/>
    </xf>
    <xf numFmtId="168" fontId="1" fillId="0" borderId="1" xfId="0" applyNumberFormat="1" applyFont="1" applyBorder="1"/>
    <xf numFmtId="169" fontId="1" fillId="0" borderId="1" xfId="0" applyNumberFormat="1" applyFont="1" applyBorder="1"/>
    <xf numFmtId="170" fontId="1" fillId="0" borderId="1" xfId="0" applyNumberFormat="1" applyFont="1" applyBorder="1"/>
    <xf numFmtId="164" fontId="4" fillId="0" borderId="22" xfId="0" applyNumberFormat="1" applyFont="1" applyBorder="1" applyAlignment="1">
      <alignment horizontal="center"/>
    </xf>
    <xf numFmtId="168" fontId="7" fillId="0" borderId="1" xfId="0" applyNumberFormat="1" applyFont="1" applyBorder="1"/>
    <xf numFmtId="0" fontId="1" fillId="3" borderId="1" xfId="0" applyFont="1" applyFill="1" applyBorder="1" applyAlignment="1">
      <alignment horizontal="left"/>
    </xf>
    <xf numFmtId="0" fontId="0" fillId="0" borderId="1" xfId="0" applyBorder="1"/>
    <xf numFmtId="164" fontId="1" fillId="0" borderId="1" xfId="0" applyNumberFormat="1" applyFont="1" applyBorder="1" applyAlignment="1">
      <alignment horizontal="left"/>
    </xf>
    <xf numFmtId="164" fontId="1" fillId="0" borderId="15" xfId="0" applyNumberFormat="1" applyFont="1" applyBorder="1" applyAlignment="1">
      <alignment horizontal="left"/>
    </xf>
    <xf numFmtId="168" fontId="1" fillId="0" borderId="15" xfId="0" applyNumberFormat="1" applyFont="1" applyBorder="1"/>
    <xf numFmtId="170" fontId="1" fillId="0" borderId="15" xfId="0" applyNumberFormat="1" applyFont="1" applyBorder="1"/>
    <xf numFmtId="164" fontId="4" fillId="0" borderId="24" xfId="0" applyNumberFormat="1" applyFont="1" applyBorder="1" applyAlignment="1">
      <alignment horizontal="center"/>
    </xf>
    <xf numFmtId="0" fontId="3" fillId="0" borderId="0" xfId="0" applyFont="1"/>
    <xf numFmtId="0" fontId="9" fillId="0" borderId="0" xfId="0" applyFont="1"/>
    <xf numFmtId="0" fontId="9" fillId="0" borderId="0" xfId="0" applyFont="1" applyAlignment="1">
      <alignment horizontal="center"/>
    </xf>
    <xf numFmtId="0" fontId="10" fillId="0" borderId="40" xfId="0" applyFont="1" applyBorder="1"/>
    <xf numFmtId="0" fontId="10" fillId="0" borderId="44" xfId="0" applyFont="1" applyBorder="1"/>
    <xf numFmtId="0" fontId="1" fillId="0" borderId="0" xfId="0" applyFont="1" applyAlignment="1">
      <alignment horizontal="right"/>
    </xf>
    <xf numFmtId="0" fontId="4" fillId="0" borderId="27" xfId="0" applyFont="1" applyBorder="1" applyAlignment="1">
      <alignment horizontal="center"/>
    </xf>
    <xf numFmtId="0" fontId="4" fillId="0" borderId="43" xfId="0" applyFont="1" applyBorder="1" applyAlignment="1">
      <alignment horizontal="center"/>
    </xf>
    <xf numFmtId="0" fontId="4" fillId="0" borderId="58" xfId="0" applyFont="1" applyBorder="1" applyAlignment="1">
      <alignment horizontal="center"/>
    </xf>
    <xf numFmtId="0" fontId="4" fillId="0" borderId="59" xfId="0" applyFont="1" applyBorder="1" applyAlignment="1">
      <alignment horizontal="center"/>
    </xf>
    <xf numFmtId="0" fontId="4" fillId="0" borderId="5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45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1" fillId="0" borderId="6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1" fontId="1" fillId="0" borderId="5" xfId="0" applyNumberFormat="1" applyFont="1" applyBorder="1"/>
    <xf numFmtId="2" fontId="1" fillId="0" borderId="3" xfId="0" applyNumberFormat="1" applyFont="1" applyBorder="1"/>
    <xf numFmtId="1" fontId="1" fillId="0" borderId="6" xfId="0" applyNumberFormat="1" applyFont="1" applyBorder="1"/>
    <xf numFmtId="1" fontId="1" fillId="0" borderId="29" xfId="0" applyNumberFormat="1" applyFont="1" applyBorder="1"/>
    <xf numFmtId="2" fontId="1" fillId="0" borderId="0" xfId="0" applyNumberFormat="1" applyFont="1"/>
    <xf numFmtId="0" fontId="4" fillId="0" borderId="44" xfId="0" applyFont="1" applyBorder="1" applyAlignment="1">
      <alignment horizontal="center"/>
    </xf>
    <xf numFmtId="1" fontId="1" fillId="0" borderId="60" xfId="0" applyNumberFormat="1" applyFont="1" applyBorder="1"/>
    <xf numFmtId="2" fontId="1" fillId="0" borderId="9" xfId="0" applyNumberFormat="1" applyFont="1" applyBorder="1"/>
    <xf numFmtId="1" fontId="1" fillId="0" borderId="45" xfId="0" applyNumberFormat="1" applyFont="1" applyBorder="1"/>
    <xf numFmtId="1" fontId="1" fillId="0" borderId="53" xfId="0" applyNumberFormat="1" applyFont="1" applyBorder="1"/>
    <xf numFmtId="2" fontId="1" fillId="0" borderId="59" xfId="0" applyNumberFormat="1" applyFont="1" applyBorder="1"/>
    <xf numFmtId="1" fontId="1" fillId="0" borderId="54" xfId="0" applyNumberFormat="1" applyFont="1" applyBorder="1"/>
    <xf numFmtId="1" fontId="1" fillId="0" borderId="55" xfId="0" applyNumberFormat="1" applyFont="1" applyBorder="1"/>
    <xf numFmtId="0" fontId="4" fillId="0" borderId="33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1" fontId="1" fillId="0" borderId="51" xfId="0" applyNumberFormat="1" applyFont="1" applyBorder="1"/>
    <xf numFmtId="2" fontId="1" fillId="0" borderId="34" xfId="0" applyNumberFormat="1" applyFont="1" applyBorder="1"/>
    <xf numFmtId="1" fontId="1" fillId="0" borderId="61" xfId="0" applyNumberFormat="1" applyFont="1" applyBorder="1"/>
    <xf numFmtId="1" fontId="1" fillId="0" borderId="52" xfId="0" applyNumberFormat="1" applyFont="1" applyBorder="1"/>
    <xf numFmtId="0" fontId="5" fillId="0" borderId="0" xfId="0" applyFont="1"/>
    <xf numFmtId="0" fontId="11" fillId="0" borderId="40" xfId="0" applyFont="1" applyBorder="1"/>
    <xf numFmtId="0" fontId="11" fillId="0" borderId="6" xfId="0" applyFont="1" applyBorder="1"/>
    <xf numFmtId="0" fontId="11" fillId="0" borderId="3" xfId="0" applyFont="1" applyBorder="1"/>
    <xf numFmtId="0" fontId="11" fillId="0" borderId="4" xfId="0" applyFont="1" applyBorder="1"/>
    <xf numFmtId="0" fontId="11" fillId="0" borderId="5" xfId="0" applyFont="1" applyBorder="1"/>
    <xf numFmtId="0" fontId="11" fillId="0" borderId="29" xfId="0" applyFont="1" applyBorder="1"/>
    <xf numFmtId="0" fontId="11" fillId="0" borderId="0" xfId="0" applyFont="1"/>
    <xf numFmtId="0" fontId="2" fillId="0" borderId="35" xfId="0" applyFont="1" applyBorder="1"/>
    <xf numFmtId="0" fontId="0" fillId="0" borderId="36" xfId="0" applyBorder="1"/>
    <xf numFmtId="0" fontId="0" fillId="0" borderId="13" xfId="0" applyBorder="1"/>
    <xf numFmtId="0" fontId="0" fillId="0" borderId="14" xfId="0" applyBorder="1"/>
    <xf numFmtId="0" fontId="0" fillId="0" borderId="16" xfId="0" applyBorder="1"/>
    <xf numFmtId="0" fontId="0" fillId="0" borderId="56" xfId="0" applyBorder="1"/>
    <xf numFmtId="0" fontId="11" fillId="0" borderId="2" xfId="0" applyFont="1" applyBorder="1"/>
    <xf numFmtId="0" fontId="11" fillId="0" borderId="7" xfId="0" applyFont="1" applyBorder="1"/>
    <xf numFmtId="0" fontId="2" fillId="0" borderId="62" xfId="0" applyFont="1" applyBorder="1"/>
    <xf numFmtId="0" fontId="0" fillId="0" borderId="57" xfId="0" applyBorder="1"/>
    <xf numFmtId="0" fontId="0" fillId="0" borderId="63" xfId="0" applyBorder="1"/>
    <xf numFmtId="0" fontId="11" fillId="0" borderId="58" xfId="0" applyFont="1" applyBorder="1"/>
    <xf numFmtId="0" fontId="11" fillId="0" borderId="54" xfId="0" applyFont="1" applyBorder="1"/>
    <xf numFmtId="0" fontId="11" fillId="0" borderId="64" xfId="0" applyFont="1" applyBorder="1"/>
    <xf numFmtId="0" fontId="0" fillId="0" borderId="35" xfId="0" applyBorder="1"/>
    <xf numFmtId="0" fontId="0" fillId="0" borderId="17" xfId="0" applyBorder="1"/>
    <xf numFmtId="164" fontId="8" fillId="0" borderId="0" xfId="0" applyNumberFormat="1" applyFont="1"/>
    <xf numFmtId="164" fontId="5" fillId="0" borderId="0" xfId="0" applyNumberFormat="1" applyFont="1"/>
    <xf numFmtId="171" fontId="8" fillId="0" borderId="0" xfId="0" applyNumberFormat="1" applyFont="1"/>
    <xf numFmtId="21" fontId="8" fillId="0" borderId="0" xfId="0" applyNumberFormat="1" applyFont="1"/>
    <xf numFmtId="1" fontId="8" fillId="0" borderId="0" xfId="0" applyNumberFormat="1" applyFont="1"/>
    <xf numFmtId="164" fontId="5" fillId="4" borderId="0" xfId="0" applyNumberFormat="1" applyFont="1" applyFill="1"/>
    <xf numFmtId="2" fontId="8" fillId="0" borderId="0" xfId="0" applyNumberFormat="1" applyFont="1"/>
    <xf numFmtId="172" fontId="5" fillId="0" borderId="0" xfId="0" applyNumberFormat="1" applyFont="1"/>
    <xf numFmtId="0" fontId="1" fillId="0" borderId="43" xfId="0" applyFont="1" applyBorder="1"/>
    <xf numFmtId="164" fontId="1" fillId="0" borderId="19" xfId="0" applyNumberFormat="1" applyFont="1" applyBorder="1" applyAlignment="1">
      <alignment horizontal="left"/>
    </xf>
    <xf numFmtId="173" fontId="1" fillId="0" borderId="19" xfId="0" applyNumberFormat="1" applyFont="1" applyBorder="1"/>
    <xf numFmtId="173" fontId="1" fillId="0" borderId="1" xfId="0" applyNumberFormat="1" applyFont="1" applyBorder="1"/>
    <xf numFmtId="0" fontId="1" fillId="0" borderId="19" xfId="0" quotePrefix="1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173" fontId="1" fillId="0" borderId="15" xfId="0" applyNumberFormat="1" applyFont="1" applyBorder="1"/>
    <xf numFmtId="0" fontId="13" fillId="0" borderId="1" xfId="0" applyFont="1" applyBorder="1"/>
    <xf numFmtId="168" fontId="14" fillId="0" borderId="1" xfId="0" applyNumberFormat="1" applyFont="1" applyBorder="1"/>
    <xf numFmtId="164" fontId="1" fillId="0" borderId="65" xfId="0" applyNumberFormat="1" applyFont="1" applyBorder="1"/>
    <xf numFmtId="164" fontId="1" fillId="0" borderId="66" xfId="0" applyNumberFormat="1" applyFont="1" applyBorder="1"/>
    <xf numFmtId="0" fontId="0" fillId="3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164" fontId="1" fillId="0" borderId="67" xfId="0" applyNumberFormat="1" applyFont="1" applyBorder="1"/>
    <xf numFmtId="0" fontId="13" fillId="0" borderId="1" xfId="0" applyFont="1" applyBorder="1" applyAlignment="1">
      <alignment horizontal="left"/>
    </xf>
    <xf numFmtId="164" fontId="15" fillId="0" borderId="15" xfId="0" applyNumberFormat="1" applyFont="1" applyBorder="1" applyAlignment="1">
      <alignment horizontal="center"/>
    </xf>
    <xf numFmtId="164" fontId="4" fillId="0" borderId="15" xfId="0" applyNumberFormat="1" applyFont="1" applyBorder="1" applyAlignment="1">
      <alignment horizontal="center"/>
    </xf>
    <xf numFmtId="0" fontId="4" fillId="0" borderId="68" xfId="0" applyFont="1" applyBorder="1" applyAlignment="1">
      <alignment horizontal="center"/>
    </xf>
    <xf numFmtId="0" fontId="4" fillId="0" borderId="69" xfId="0" applyFont="1" applyBorder="1" applyAlignment="1">
      <alignment horizontal="center"/>
    </xf>
    <xf numFmtId="1" fontId="1" fillId="0" borderId="70" xfId="0" applyNumberFormat="1" applyFont="1" applyBorder="1"/>
    <xf numFmtId="2" fontId="1" fillId="0" borderId="69" xfId="0" applyNumberFormat="1" applyFont="1" applyBorder="1"/>
    <xf numFmtId="1" fontId="1" fillId="0" borderId="71" xfId="0" applyNumberFormat="1" applyFont="1" applyBorder="1"/>
    <xf numFmtId="0" fontId="0" fillId="0" borderId="71" xfId="0" applyBorder="1"/>
    <xf numFmtId="0" fontId="1" fillId="0" borderId="71" xfId="0" applyFont="1" applyBorder="1"/>
    <xf numFmtId="0" fontId="4" fillId="0" borderId="72" xfId="0" applyFont="1" applyBorder="1" applyAlignment="1">
      <alignment horizontal="center"/>
    </xf>
    <xf numFmtId="2" fontId="1" fillId="0" borderId="72" xfId="0" applyNumberFormat="1" applyFont="1" applyBorder="1"/>
    <xf numFmtId="1" fontId="1" fillId="0" borderId="72" xfId="0" applyNumberFormat="1" applyFont="1" applyBorder="1"/>
    <xf numFmtId="0" fontId="1" fillId="0" borderId="68" xfId="0" applyFont="1" applyBorder="1"/>
    <xf numFmtId="0" fontId="1" fillId="0" borderId="73" xfId="0" applyFont="1" applyBorder="1"/>
    <xf numFmtId="0" fontId="4" fillId="0" borderId="73" xfId="0" applyFont="1" applyBorder="1" applyAlignment="1">
      <alignment horizontal="center"/>
    </xf>
    <xf numFmtId="1" fontId="1" fillId="0" borderId="73" xfId="0" applyNumberFormat="1" applyFont="1" applyBorder="1"/>
    <xf numFmtId="0" fontId="0" fillId="0" borderId="73" xfId="0" applyBorder="1"/>
    <xf numFmtId="1" fontId="1" fillId="0" borderId="74" xfId="0" applyNumberFormat="1" applyFont="1" applyBorder="1"/>
    <xf numFmtId="0" fontId="4" fillId="0" borderId="75" xfId="0" applyFont="1" applyBorder="1" applyAlignment="1">
      <alignment horizontal="center"/>
    </xf>
    <xf numFmtId="2" fontId="1" fillId="0" borderId="75" xfId="0" applyNumberFormat="1" applyFont="1" applyBorder="1"/>
    <xf numFmtId="1" fontId="1" fillId="0" borderId="75" xfId="0" applyNumberFormat="1" applyFont="1" applyBorder="1"/>
    <xf numFmtId="164" fontId="1" fillId="0" borderId="14" xfId="0" applyNumberFormat="1" applyFont="1" applyBorder="1"/>
    <xf numFmtId="0" fontId="1" fillId="0" borderId="14" xfId="0" applyFont="1" applyBorder="1"/>
    <xf numFmtId="164" fontId="1" fillId="0" borderId="14" xfId="0" applyNumberFormat="1" applyFont="1" applyBorder="1" applyAlignment="1">
      <alignment horizontal="left"/>
    </xf>
    <xf numFmtId="2" fontId="1" fillId="0" borderId="14" xfId="0" applyNumberFormat="1" applyFont="1" applyBorder="1"/>
    <xf numFmtId="168" fontId="1" fillId="0" borderId="14" xfId="0" applyNumberFormat="1" applyFont="1" applyBorder="1"/>
    <xf numFmtId="169" fontId="1" fillId="0" borderId="14" xfId="0" applyNumberFormat="1" applyFont="1" applyBorder="1"/>
    <xf numFmtId="170" fontId="1" fillId="0" borderId="14" xfId="0" applyNumberFormat="1" applyFont="1" applyBorder="1"/>
    <xf numFmtId="164" fontId="4" fillId="0" borderId="17" xfId="0" applyNumberFormat="1" applyFont="1" applyBorder="1" applyAlignment="1">
      <alignment horizontal="center"/>
    </xf>
    <xf numFmtId="0" fontId="1" fillId="0" borderId="76" xfId="0" applyFont="1" applyBorder="1"/>
    <xf numFmtId="0" fontId="1" fillId="0" borderId="77" xfId="0" applyFont="1" applyBorder="1"/>
    <xf numFmtId="0" fontId="1" fillId="0" borderId="77" xfId="0" applyFont="1" applyBorder="1" applyAlignment="1">
      <alignment horizontal="left"/>
    </xf>
    <xf numFmtId="2" fontId="1" fillId="0" borderId="77" xfId="0" applyNumberFormat="1" applyFont="1" applyBorder="1"/>
    <xf numFmtId="0" fontId="1" fillId="0" borderId="77" xfId="0" applyFont="1" applyBorder="1" applyAlignment="1">
      <alignment horizontal="center"/>
    </xf>
    <xf numFmtId="168" fontId="1" fillId="0" borderId="77" xfId="0" applyNumberFormat="1" applyFont="1" applyBorder="1"/>
    <xf numFmtId="164" fontId="1" fillId="0" borderId="77" xfId="0" applyNumberFormat="1" applyFont="1" applyBorder="1"/>
    <xf numFmtId="169" fontId="1" fillId="0" borderId="77" xfId="0" applyNumberFormat="1" applyFont="1" applyBorder="1"/>
    <xf numFmtId="170" fontId="1" fillId="0" borderId="77" xfId="0" applyNumberFormat="1" applyFont="1" applyBorder="1"/>
    <xf numFmtId="164" fontId="4" fillId="0" borderId="78" xfId="0" applyNumberFormat="1" applyFont="1" applyBorder="1" applyAlignment="1">
      <alignment horizontal="center"/>
    </xf>
    <xf numFmtId="0" fontId="1" fillId="0" borderId="79" xfId="0" applyFont="1" applyBorder="1"/>
    <xf numFmtId="164" fontId="4" fillId="0" borderId="80" xfId="0" applyNumberFormat="1" applyFont="1" applyBorder="1" applyAlignment="1">
      <alignment horizontal="center"/>
    </xf>
    <xf numFmtId="0" fontId="1" fillId="0" borderId="81" xfId="0" applyFont="1" applyBorder="1"/>
    <xf numFmtId="0" fontId="1" fillId="0" borderId="67" xfId="0" applyFont="1" applyBorder="1"/>
    <xf numFmtId="0" fontId="1" fillId="0" borderId="67" xfId="0" applyFont="1" applyBorder="1" applyAlignment="1">
      <alignment horizontal="left"/>
    </xf>
    <xf numFmtId="164" fontId="1" fillId="0" borderId="67" xfId="0" applyNumberFormat="1" applyFont="1" applyBorder="1" applyAlignment="1">
      <alignment horizontal="left"/>
    </xf>
    <xf numFmtId="2" fontId="1" fillId="0" borderId="67" xfId="0" applyNumberFormat="1" applyFont="1" applyBorder="1"/>
    <xf numFmtId="0" fontId="1" fillId="0" borderId="67" xfId="0" applyFont="1" applyBorder="1" applyAlignment="1">
      <alignment horizontal="center"/>
    </xf>
    <xf numFmtId="168" fontId="7" fillId="0" borderId="67" xfId="0" applyNumberFormat="1" applyFont="1" applyBorder="1"/>
    <xf numFmtId="168" fontId="1" fillId="0" borderId="67" xfId="0" applyNumberFormat="1" applyFont="1" applyBorder="1"/>
    <xf numFmtId="169" fontId="1" fillId="0" borderId="67" xfId="0" applyNumberFormat="1" applyFont="1" applyBorder="1"/>
    <xf numFmtId="170" fontId="1" fillId="0" borderId="67" xfId="0" applyNumberFormat="1" applyFont="1" applyBorder="1"/>
    <xf numFmtId="164" fontId="4" fillId="0" borderId="82" xfId="0" applyNumberFormat="1" applyFont="1" applyBorder="1" applyAlignment="1">
      <alignment horizontal="center"/>
    </xf>
    <xf numFmtId="164" fontId="4" fillId="6" borderId="19" xfId="0" applyNumberFormat="1" applyFont="1" applyFill="1" applyBorder="1" applyAlignment="1">
      <alignment horizontal="center"/>
    </xf>
    <xf numFmtId="164" fontId="4" fillId="6" borderId="1" xfId="0" applyNumberFormat="1" applyFont="1" applyFill="1" applyBorder="1" applyAlignment="1">
      <alignment horizontal="center"/>
    </xf>
    <xf numFmtId="173" fontId="1" fillId="0" borderId="14" xfId="0" applyNumberFormat="1" applyFont="1" applyBorder="1"/>
    <xf numFmtId="168" fontId="14" fillId="0" borderId="14" xfId="0" applyNumberFormat="1" applyFont="1" applyBorder="1"/>
    <xf numFmtId="164" fontId="4" fillId="0" borderId="63" xfId="0" applyNumberFormat="1" applyFont="1" applyBorder="1" applyAlignment="1">
      <alignment horizontal="center"/>
    </xf>
    <xf numFmtId="164" fontId="1" fillId="0" borderId="77" xfId="0" applyNumberFormat="1" applyFont="1" applyBorder="1" applyAlignment="1">
      <alignment horizontal="left"/>
    </xf>
    <xf numFmtId="173" fontId="1" fillId="0" borderId="77" xfId="0" applyNumberFormat="1" applyFont="1" applyBorder="1"/>
    <xf numFmtId="173" fontId="1" fillId="0" borderId="67" xfId="0" applyNumberFormat="1" applyFont="1" applyBorder="1"/>
    <xf numFmtId="168" fontId="14" fillId="0" borderId="67" xfId="0" applyNumberFormat="1" applyFont="1" applyBorder="1"/>
    <xf numFmtId="164" fontId="4" fillId="7" borderId="22" xfId="0" applyNumberFormat="1" applyFont="1" applyFill="1" applyBorder="1" applyAlignment="1">
      <alignment horizontal="center"/>
    </xf>
    <xf numFmtId="164" fontId="4" fillId="7" borderId="80" xfId="0" applyNumberFormat="1" applyFont="1" applyFill="1" applyBorder="1" applyAlignment="1">
      <alignment horizontal="center"/>
    </xf>
    <xf numFmtId="164" fontId="15" fillId="0" borderId="80" xfId="0" applyNumberFormat="1" applyFont="1" applyBorder="1" applyAlignment="1">
      <alignment horizontal="center"/>
    </xf>
    <xf numFmtId="0" fontId="14" fillId="0" borderId="0" xfId="0" applyFont="1"/>
    <xf numFmtId="164" fontId="15" fillId="0" borderId="17" xfId="0" applyNumberFormat="1" applyFont="1" applyBorder="1" applyAlignment="1">
      <alignment horizontal="center"/>
    </xf>
    <xf numFmtId="0" fontId="13" fillId="0" borderId="77" xfId="0" applyFont="1" applyBorder="1" applyAlignment="1">
      <alignment horizontal="left"/>
    </xf>
    <xf numFmtId="168" fontId="16" fillId="0" borderId="1" xfId="0" applyNumberFormat="1" applyFont="1" applyBorder="1"/>
    <xf numFmtId="164" fontId="15" fillId="0" borderId="22" xfId="0" applyNumberFormat="1" applyFont="1" applyBorder="1" applyAlignment="1">
      <alignment horizontal="center"/>
    </xf>
    <xf numFmtId="168" fontId="14" fillId="5" borderId="1" xfId="0" applyNumberFormat="1" applyFont="1" applyFill="1" applyBorder="1"/>
    <xf numFmtId="164" fontId="15" fillId="6" borderId="1" xfId="0" applyNumberFormat="1" applyFont="1" applyFill="1" applyBorder="1" applyAlignment="1">
      <alignment horizontal="center"/>
    </xf>
    <xf numFmtId="164" fontId="15" fillId="0" borderId="78" xfId="0" applyNumberFormat="1" applyFont="1" applyBorder="1" applyAlignment="1">
      <alignment horizontal="center"/>
    </xf>
    <xf numFmtId="168" fontId="14" fillId="0" borderId="77" xfId="0" applyNumberFormat="1" applyFont="1" applyBorder="1"/>
    <xf numFmtId="0" fontId="1" fillId="0" borderId="57" xfId="0" applyFont="1" applyBorder="1"/>
    <xf numFmtId="0" fontId="1" fillId="0" borderId="57" xfId="0" applyFont="1" applyBorder="1" applyAlignment="1">
      <alignment horizontal="left"/>
    </xf>
    <xf numFmtId="164" fontId="1" fillId="0" borderId="57" xfId="0" applyNumberFormat="1" applyFont="1" applyBorder="1" applyAlignment="1">
      <alignment horizontal="left"/>
    </xf>
    <xf numFmtId="173" fontId="1" fillId="0" borderId="57" xfId="0" applyNumberFormat="1" applyFont="1" applyBorder="1"/>
    <xf numFmtId="0" fontId="1" fillId="0" borderId="57" xfId="0" applyFont="1" applyBorder="1" applyAlignment="1">
      <alignment horizontal="center"/>
    </xf>
    <xf numFmtId="168" fontId="1" fillId="0" borderId="57" xfId="0" applyNumberFormat="1" applyFont="1" applyBorder="1"/>
    <xf numFmtId="170" fontId="1" fillId="0" borderId="57" xfId="0" applyNumberFormat="1" applyFont="1" applyBorder="1"/>
    <xf numFmtId="0" fontId="0" fillId="0" borderId="77" xfId="0" applyBorder="1" applyAlignment="1">
      <alignment horizontal="left"/>
    </xf>
    <xf numFmtId="0" fontId="1" fillId="0" borderId="84" xfId="0" applyFont="1" applyBorder="1"/>
    <xf numFmtId="164" fontId="1" fillId="0" borderId="85" xfId="0" applyNumberFormat="1" applyFont="1" applyBorder="1"/>
    <xf numFmtId="0" fontId="0" fillId="0" borderId="85" xfId="0" applyBorder="1"/>
    <xf numFmtId="0" fontId="1" fillId="0" borderId="85" xfId="0" applyFont="1" applyBorder="1" applyAlignment="1">
      <alignment horizontal="left"/>
    </xf>
    <xf numFmtId="164" fontId="1" fillId="0" borderId="85" xfId="0" applyNumberFormat="1" applyFont="1" applyBorder="1" applyAlignment="1">
      <alignment horizontal="left"/>
    </xf>
    <xf numFmtId="173" fontId="1" fillId="0" borderId="85" xfId="0" applyNumberFormat="1" applyFont="1" applyBorder="1"/>
    <xf numFmtId="0" fontId="1" fillId="0" borderId="85" xfId="0" applyFont="1" applyBorder="1" applyAlignment="1">
      <alignment horizontal="center"/>
    </xf>
    <xf numFmtId="168" fontId="14" fillId="0" borderId="85" xfId="0" applyNumberFormat="1" applyFont="1" applyBorder="1"/>
    <xf numFmtId="168" fontId="1" fillId="0" borderId="85" xfId="0" applyNumberFormat="1" applyFont="1" applyBorder="1"/>
    <xf numFmtId="170" fontId="1" fillId="0" borderId="85" xfId="0" applyNumberFormat="1" applyFont="1" applyBorder="1"/>
    <xf numFmtId="164" fontId="4" fillId="0" borderId="86" xfId="0" applyNumberFormat="1" applyFont="1" applyBorder="1" applyAlignment="1">
      <alignment horizontal="center"/>
    </xf>
    <xf numFmtId="0" fontId="1" fillId="0" borderId="87" xfId="0" applyFont="1" applyBorder="1"/>
    <xf numFmtId="164" fontId="4" fillId="0" borderId="88" xfId="0" applyNumberFormat="1" applyFont="1" applyBorder="1" applyAlignment="1">
      <alignment horizontal="center"/>
    </xf>
    <xf numFmtId="164" fontId="15" fillId="0" borderId="1" xfId="0" applyNumberFormat="1" applyFont="1" applyBorder="1" applyAlignment="1">
      <alignment horizontal="center"/>
    </xf>
    <xf numFmtId="164" fontId="15" fillId="0" borderId="19" xfId="0" applyNumberFormat="1" applyFont="1" applyBorder="1" applyAlignment="1">
      <alignment horizontal="center"/>
    </xf>
    <xf numFmtId="164" fontId="4" fillId="7" borderId="78" xfId="0" applyNumberFormat="1" applyFont="1" applyFill="1" applyBorder="1" applyAlignment="1">
      <alignment horizontal="center"/>
    </xf>
    <xf numFmtId="164" fontId="1" fillId="0" borderId="89" xfId="0" applyNumberFormat="1" applyFont="1" applyBorder="1"/>
    <xf numFmtId="164" fontId="1" fillId="0" borderId="90" xfId="0" applyNumberFormat="1" applyFont="1" applyBorder="1"/>
    <xf numFmtId="0" fontId="1" fillId="0" borderId="25" xfId="0" applyFont="1" applyBorder="1"/>
    <xf numFmtId="0" fontId="1" fillId="0" borderId="41" xfId="0" applyFont="1" applyBorder="1"/>
    <xf numFmtId="164" fontId="1" fillId="0" borderId="76" xfId="0" applyNumberFormat="1" applyFont="1" applyBorder="1"/>
    <xf numFmtId="164" fontId="1" fillId="0" borderId="79" xfId="0" applyNumberFormat="1" applyFont="1" applyBorder="1"/>
    <xf numFmtId="164" fontId="1" fillId="0" borderId="81" xfId="0" applyNumberFormat="1" applyFont="1" applyBorder="1"/>
    <xf numFmtId="164" fontId="17" fillId="8" borderId="80" xfId="0" applyNumberFormat="1" applyFont="1" applyFill="1" applyBorder="1" applyAlignment="1">
      <alignment horizontal="center"/>
    </xf>
    <xf numFmtId="164" fontId="5" fillId="8" borderId="22" xfId="0" applyNumberFormat="1" applyFont="1" applyFill="1" applyBorder="1" applyAlignment="1">
      <alignment horizontal="center"/>
    </xf>
    <xf numFmtId="0" fontId="1" fillId="0" borderId="83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14" fontId="1" fillId="0" borderId="22" xfId="0" applyNumberFormat="1" applyFont="1" applyBorder="1" applyAlignment="1">
      <alignment horizontal="center"/>
    </xf>
    <xf numFmtId="16" fontId="1" fillId="0" borderId="60" xfId="0" applyNumberFormat="1" applyFont="1" applyBorder="1" applyAlignment="1">
      <alignment horizontal="center"/>
    </xf>
    <xf numFmtId="21" fontId="1" fillId="0" borderId="24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49" fontId="1" fillId="0" borderId="60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17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</cellXfs>
  <cellStyles count="1">
    <cellStyle name="Normal" xfId="0" builtinId="0"/>
  </cellStyles>
  <dxfs count="1">
    <dxf>
      <font>
        <color rgb="FFFF0000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FF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3333"/>
      <rgbColor rgb="00666699"/>
      <rgbColor rgb="00969696"/>
      <rgbColor rgb="00003366"/>
      <rgbColor rgb="00339966"/>
      <rgbColor rgb="00003300"/>
      <rgbColor rgb="00333300"/>
      <rgbColor rgb="00DC2300"/>
      <rgbColor rgb="00993366"/>
      <rgbColor rgb="00333399"/>
      <rgbColor rgb="001A1A1A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1</xdr:row>
      <xdr:rowOff>0</xdr:rowOff>
    </xdr:from>
    <xdr:to>
      <xdr:col>18</xdr:col>
      <xdr:colOff>203200</xdr:colOff>
      <xdr:row>4</xdr:row>
      <xdr:rowOff>165100</xdr:rowOff>
    </xdr:to>
    <xdr:pic>
      <xdr:nvPicPr>
        <xdr:cNvPr id="1789" name="Picture 1">
          <a:extLst>
            <a:ext uri="{FF2B5EF4-FFF2-40B4-BE49-F238E27FC236}">
              <a16:creationId xmlns:a16="http://schemas.microsoft.com/office/drawing/2014/main" id="{8BDE5D4D-2B9F-B512-965A-F07A20E6C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3500" y="190500"/>
          <a:ext cx="660400" cy="927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393700</xdr:colOff>
      <xdr:row>0</xdr:row>
      <xdr:rowOff>76200</xdr:rowOff>
    </xdr:from>
    <xdr:to>
      <xdr:col>14</xdr:col>
      <xdr:colOff>304800</xdr:colOff>
      <xdr:row>3</xdr:row>
      <xdr:rowOff>203200</xdr:rowOff>
    </xdr:to>
    <xdr:pic>
      <xdr:nvPicPr>
        <xdr:cNvPr id="16119" name="Picture 1">
          <a:extLst>
            <a:ext uri="{FF2B5EF4-FFF2-40B4-BE49-F238E27FC236}">
              <a16:creationId xmlns:a16="http://schemas.microsoft.com/office/drawing/2014/main" id="{CE7E4908-FAAE-0CBE-0BD9-17A97262D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8900" y="76200"/>
          <a:ext cx="8001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393700</xdr:colOff>
      <xdr:row>0</xdr:row>
      <xdr:rowOff>76200</xdr:rowOff>
    </xdr:from>
    <xdr:to>
      <xdr:col>14</xdr:col>
      <xdr:colOff>304800</xdr:colOff>
      <xdr:row>3</xdr:row>
      <xdr:rowOff>203200</xdr:rowOff>
    </xdr:to>
    <xdr:pic>
      <xdr:nvPicPr>
        <xdr:cNvPr id="2813" name="Picture 1">
          <a:extLst>
            <a:ext uri="{FF2B5EF4-FFF2-40B4-BE49-F238E27FC236}">
              <a16:creationId xmlns:a16="http://schemas.microsoft.com/office/drawing/2014/main" id="{9C76437F-CBC2-33BF-2FB3-229D50788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4400" y="76200"/>
          <a:ext cx="901700" cy="927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381000</xdr:colOff>
      <xdr:row>0</xdr:row>
      <xdr:rowOff>76200</xdr:rowOff>
    </xdr:from>
    <xdr:to>
      <xdr:col>14</xdr:col>
      <xdr:colOff>203200</xdr:colOff>
      <xdr:row>3</xdr:row>
      <xdr:rowOff>38100</xdr:rowOff>
    </xdr:to>
    <xdr:pic>
      <xdr:nvPicPr>
        <xdr:cNvPr id="3837" name="Picture 1">
          <a:extLst>
            <a:ext uri="{FF2B5EF4-FFF2-40B4-BE49-F238E27FC236}">
              <a16:creationId xmlns:a16="http://schemas.microsoft.com/office/drawing/2014/main" id="{91D2CBCD-948E-09C7-D6BB-63BC8835A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76200"/>
          <a:ext cx="7112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393700</xdr:colOff>
      <xdr:row>0</xdr:row>
      <xdr:rowOff>76200</xdr:rowOff>
    </xdr:from>
    <xdr:to>
      <xdr:col>14</xdr:col>
      <xdr:colOff>175172</xdr:colOff>
      <xdr:row>3</xdr:row>
      <xdr:rowOff>37444</xdr:rowOff>
    </xdr:to>
    <xdr:pic>
      <xdr:nvPicPr>
        <xdr:cNvPr id="4861" name="Picture 1">
          <a:extLst>
            <a:ext uri="{FF2B5EF4-FFF2-40B4-BE49-F238E27FC236}">
              <a16:creationId xmlns:a16="http://schemas.microsoft.com/office/drawing/2014/main" id="{09619760-79BF-A58E-0B14-B0A76EABC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976" y="76200"/>
          <a:ext cx="657334" cy="6473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203930</xdr:colOff>
      <xdr:row>0</xdr:row>
      <xdr:rowOff>145978</xdr:rowOff>
    </xdr:from>
    <xdr:to>
      <xdr:col>13</xdr:col>
      <xdr:colOff>415204</xdr:colOff>
      <xdr:row>3</xdr:row>
      <xdr:rowOff>15912</xdr:rowOff>
    </xdr:to>
    <xdr:pic>
      <xdr:nvPicPr>
        <xdr:cNvPr id="5885" name="Picture 1">
          <a:extLst>
            <a:ext uri="{FF2B5EF4-FFF2-40B4-BE49-F238E27FC236}">
              <a16:creationId xmlns:a16="http://schemas.microsoft.com/office/drawing/2014/main" id="{4850FCEF-C631-D5A8-C0E7-73BC512B2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34850" y="145978"/>
          <a:ext cx="649205" cy="6728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174735</xdr:colOff>
      <xdr:row>0</xdr:row>
      <xdr:rowOff>96322</xdr:rowOff>
    </xdr:from>
    <xdr:to>
      <xdr:col>14</xdr:col>
      <xdr:colOff>437932</xdr:colOff>
      <xdr:row>3</xdr:row>
      <xdr:rowOff>54012</xdr:rowOff>
    </xdr:to>
    <xdr:pic>
      <xdr:nvPicPr>
        <xdr:cNvPr id="6909" name="Picture 1">
          <a:extLst>
            <a:ext uri="{FF2B5EF4-FFF2-40B4-BE49-F238E27FC236}">
              <a16:creationId xmlns:a16="http://schemas.microsoft.com/office/drawing/2014/main" id="{3BF23170-E650-A4C8-8407-A7EA7C454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54505" y="96322"/>
          <a:ext cx="701128" cy="7605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393700</xdr:colOff>
      <xdr:row>0</xdr:row>
      <xdr:rowOff>76200</xdr:rowOff>
    </xdr:from>
    <xdr:to>
      <xdr:col>14</xdr:col>
      <xdr:colOff>304800</xdr:colOff>
      <xdr:row>2</xdr:row>
      <xdr:rowOff>204367</xdr:rowOff>
    </xdr:to>
    <xdr:pic>
      <xdr:nvPicPr>
        <xdr:cNvPr id="7933" name="Picture 1">
          <a:extLst>
            <a:ext uri="{FF2B5EF4-FFF2-40B4-BE49-F238E27FC236}">
              <a16:creationId xmlns:a16="http://schemas.microsoft.com/office/drawing/2014/main" id="{B578EED8-3F4F-886D-DB6F-A32C38631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4160" y="76200"/>
          <a:ext cx="786962" cy="6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393700</xdr:colOff>
      <xdr:row>0</xdr:row>
      <xdr:rowOff>76200</xdr:rowOff>
    </xdr:from>
    <xdr:to>
      <xdr:col>14</xdr:col>
      <xdr:colOff>304800</xdr:colOff>
      <xdr:row>2</xdr:row>
      <xdr:rowOff>218965</xdr:rowOff>
    </xdr:to>
    <xdr:pic>
      <xdr:nvPicPr>
        <xdr:cNvPr id="8957" name="Picture 1">
          <a:extLst>
            <a:ext uri="{FF2B5EF4-FFF2-40B4-BE49-F238E27FC236}">
              <a16:creationId xmlns:a16="http://schemas.microsoft.com/office/drawing/2014/main" id="{ED1BDBAC-C808-D212-F7DF-724BEF49F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2895" y="76200"/>
          <a:ext cx="786962" cy="6974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139700</xdr:colOff>
      <xdr:row>0</xdr:row>
      <xdr:rowOff>139700</xdr:rowOff>
    </xdr:from>
    <xdr:to>
      <xdr:col>14</xdr:col>
      <xdr:colOff>50800</xdr:colOff>
      <xdr:row>3</xdr:row>
      <xdr:rowOff>0</xdr:rowOff>
    </xdr:to>
    <xdr:pic>
      <xdr:nvPicPr>
        <xdr:cNvPr id="9981" name="Picture 1">
          <a:extLst>
            <a:ext uri="{FF2B5EF4-FFF2-40B4-BE49-F238E27FC236}">
              <a16:creationId xmlns:a16="http://schemas.microsoft.com/office/drawing/2014/main" id="{5DA7B2DA-3F2B-461E-560F-AA097806E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0" y="139700"/>
          <a:ext cx="8001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330200</xdr:colOff>
      <xdr:row>0</xdr:row>
      <xdr:rowOff>101600</xdr:rowOff>
    </xdr:from>
    <xdr:to>
      <xdr:col>13</xdr:col>
      <xdr:colOff>127000</xdr:colOff>
      <xdr:row>3</xdr:row>
      <xdr:rowOff>25400</xdr:rowOff>
    </xdr:to>
    <xdr:pic>
      <xdr:nvPicPr>
        <xdr:cNvPr id="11005" name="Picture 1">
          <a:extLst>
            <a:ext uri="{FF2B5EF4-FFF2-40B4-BE49-F238E27FC236}">
              <a16:creationId xmlns:a16="http://schemas.microsoft.com/office/drawing/2014/main" id="{D96B23AC-E2A1-2196-BCDA-3834D3DF1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6500" y="101600"/>
          <a:ext cx="685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127000</xdr:colOff>
      <xdr:row>0</xdr:row>
      <xdr:rowOff>25400</xdr:rowOff>
    </xdr:from>
    <xdr:to>
      <xdr:col>14</xdr:col>
      <xdr:colOff>38100</xdr:colOff>
      <xdr:row>3</xdr:row>
      <xdr:rowOff>38100</xdr:rowOff>
    </xdr:to>
    <xdr:pic>
      <xdr:nvPicPr>
        <xdr:cNvPr id="12029" name="Picture 1">
          <a:extLst>
            <a:ext uri="{FF2B5EF4-FFF2-40B4-BE49-F238E27FC236}">
              <a16:creationId xmlns:a16="http://schemas.microsoft.com/office/drawing/2014/main" id="{5BB35E31-6E60-A694-0E6B-351F66E90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7800" y="25400"/>
          <a:ext cx="800100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0</xdr:rowOff>
    </xdr:from>
    <xdr:to>
      <xdr:col>8</xdr:col>
      <xdr:colOff>241300</xdr:colOff>
      <xdr:row>4</xdr:row>
      <xdr:rowOff>114300</xdr:rowOff>
    </xdr:to>
    <xdr:pic>
      <xdr:nvPicPr>
        <xdr:cNvPr id="13053" name="Picture 1">
          <a:extLst>
            <a:ext uri="{FF2B5EF4-FFF2-40B4-BE49-F238E27FC236}">
              <a16:creationId xmlns:a16="http://schemas.microsoft.com/office/drawing/2014/main" id="{54BC1A41-EAD0-25A3-6118-783C65DD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2700" y="228600"/>
          <a:ext cx="7874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5D308-50C3-E84A-AC40-823119B3DDD8}">
  <sheetPr codeName="Blad1"/>
  <dimension ref="A1:T42"/>
  <sheetViews>
    <sheetView topLeftCell="A2" zoomScale="120" zoomScaleNormal="120" workbookViewId="0">
      <selection activeCell="S11" sqref="S11"/>
    </sheetView>
  </sheetViews>
  <sheetFormatPr baseColWidth="10" defaultColWidth="9.25" defaultRowHeight="13" x14ac:dyDescent="0.15"/>
  <cols>
    <col min="1" max="1" width="6.75" style="1" customWidth="1"/>
    <col min="2" max="2" width="24.75" style="1" customWidth="1"/>
    <col min="3" max="3" width="14.5" style="2" customWidth="1"/>
    <col min="4" max="4" width="7.75" style="1" customWidth="1"/>
    <col min="5" max="5" width="8.25" style="1" customWidth="1"/>
    <col min="6" max="15" width="6.75" style="1" customWidth="1"/>
    <col min="16" max="16" width="10.5" style="1" customWidth="1"/>
    <col min="17" max="17" width="11.25" style="1" customWidth="1"/>
    <col min="18" max="18" width="9" style="1" customWidth="1"/>
    <col min="19" max="19" width="6.5" style="1" customWidth="1"/>
    <col min="20" max="16384" width="9.25" style="1"/>
  </cols>
  <sheetData>
    <row r="1" spans="1:19" ht="15.5" customHeight="1" x14ac:dyDescent="0.15"/>
    <row r="2" spans="1:19" ht="23.5" customHeight="1" x14ac:dyDescent="0.25">
      <c r="A2" s="3"/>
      <c r="G2" s="4" t="s">
        <v>138</v>
      </c>
      <c r="H2" s="5"/>
      <c r="I2" s="5"/>
    </row>
    <row r="3" spans="1:19" ht="20" customHeight="1" x14ac:dyDescent="0.2">
      <c r="A3" s="3"/>
      <c r="G3" s="6" t="s">
        <v>0</v>
      </c>
      <c r="H3" s="5"/>
      <c r="I3" s="5"/>
    </row>
    <row r="4" spans="1:19" ht="17" customHeight="1" x14ac:dyDescent="0.25">
      <c r="A4" s="3"/>
      <c r="G4" s="4"/>
      <c r="H4" s="5"/>
      <c r="I4" s="5"/>
      <c r="Q4" s="7"/>
    </row>
    <row r="5" spans="1:19" ht="20" customHeight="1" x14ac:dyDescent="0.2">
      <c r="A5" s="3"/>
    </row>
    <row r="6" spans="1:19" ht="20" customHeight="1" x14ac:dyDescent="0.15">
      <c r="A6" s="8" t="s">
        <v>1</v>
      </c>
      <c r="B6" s="9" t="s">
        <v>2</v>
      </c>
      <c r="C6" s="10" t="s">
        <v>3</v>
      </c>
      <c r="D6" s="11" t="s">
        <v>4</v>
      </c>
      <c r="E6" s="11" t="s">
        <v>4</v>
      </c>
      <c r="F6" s="12"/>
      <c r="G6" s="13"/>
      <c r="H6" s="13"/>
      <c r="I6" s="13"/>
      <c r="J6" s="13" t="s">
        <v>5</v>
      </c>
      <c r="K6" s="13"/>
      <c r="L6" s="13"/>
      <c r="M6" s="13"/>
      <c r="N6" s="13"/>
      <c r="O6" s="9"/>
      <c r="P6" s="11" t="s">
        <v>6</v>
      </c>
      <c r="Q6" s="11" t="s">
        <v>7</v>
      </c>
      <c r="R6" s="11" t="s">
        <v>6</v>
      </c>
      <c r="S6" s="14" t="s">
        <v>8</v>
      </c>
    </row>
    <row r="7" spans="1:19" ht="20" customHeight="1" x14ac:dyDescent="0.15">
      <c r="A7" s="15"/>
      <c r="B7" s="16"/>
      <c r="C7" s="17"/>
      <c r="D7" s="18" t="s">
        <v>67</v>
      </c>
      <c r="E7" s="18" t="s">
        <v>10</v>
      </c>
      <c r="F7" s="19">
        <v>1</v>
      </c>
      <c r="G7" s="19">
        <v>2</v>
      </c>
      <c r="H7" s="19">
        <v>3</v>
      </c>
      <c r="I7" s="19">
        <v>4</v>
      </c>
      <c r="J7" s="19">
        <v>5</v>
      </c>
      <c r="K7" s="19">
        <v>6</v>
      </c>
      <c r="L7" s="19">
        <v>7</v>
      </c>
      <c r="M7" s="19">
        <v>8</v>
      </c>
      <c r="N7" s="19">
        <v>9</v>
      </c>
      <c r="O7" s="19">
        <v>10</v>
      </c>
      <c r="P7" s="16" t="s">
        <v>11</v>
      </c>
      <c r="Q7" s="18" t="s">
        <v>12</v>
      </c>
      <c r="R7" s="18" t="s">
        <v>11</v>
      </c>
      <c r="S7" s="20"/>
    </row>
    <row r="8" spans="1:19" ht="20" customHeight="1" thickBot="1" x14ac:dyDescent="0.2">
      <c r="A8" s="21"/>
      <c r="B8" s="22"/>
      <c r="C8" s="23"/>
      <c r="D8" s="24"/>
      <c r="E8" s="25"/>
      <c r="F8" s="26" t="s">
        <v>139</v>
      </c>
      <c r="G8" s="26" t="s">
        <v>140</v>
      </c>
      <c r="H8" s="26" t="s">
        <v>141</v>
      </c>
      <c r="I8" s="26" t="s">
        <v>142</v>
      </c>
      <c r="J8" s="26" t="s">
        <v>143</v>
      </c>
      <c r="K8" s="26" t="s">
        <v>144</v>
      </c>
      <c r="L8" s="26" t="s">
        <v>145</v>
      </c>
      <c r="M8" s="26" t="s">
        <v>146</v>
      </c>
      <c r="N8" s="26" t="s">
        <v>147</v>
      </c>
      <c r="O8" s="26" t="s">
        <v>148</v>
      </c>
      <c r="P8" s="22" t="s">
        <v>13</v>
      </c>
      <c r="Q8" s="27" t="s">
        <v>14</v>
      </c>
      <c r="R8" s="28" t="s">
        <v>15</v>
      </c>
      <c r="S8" s="29"/>
    </row>
    <row r="9" spans="1:19" ht="20" customHeight="1" x14ac:dyDescent="0.2">
      <c r="A9" s="30">
        <v>1</v>
      </c>
      <c r="B9" s="31" t="s">
        <v>149</v>
      </c>
      <c r="C9" s="32">
        <v>707</v>
      </c>
      <c r="D9" s="205">
        <v>0.86799999999999999</v>
      </c>
      <c r="E9" s="31"/>
      <c r="F9" s="33">
        <f>'Segl 1'!O19</f>
        <v>4</v>
      </c>
      <c r="G9" s="33">
        <f>'Segl 2'!O19</f>
        <v>4</v>
      </c>
      <c r="H9" s="33">
        <f>'Segl 3'!O19</f>
        <v>5</v>
      </c>
      <c r="I9" s="313">
        <f>'Segl 4'!O19</f>
        <v>5</v>
      </c>
      <c r="J9" s="270">
        <f>'Segl 5'!O19</f>
        <v>3</v>
      </c>
      <c r="K9" s="270">
        <f>'Segl 6'!O19</f>
        <v>1</v>
      </c>
      <c r="L9" s="33">
        <f>'Segl 7'!O19</f>
        <v>4</v>
      </c>
      <c r="M9" s="270">
        <f>'Segl 8'!O19</f>
        <v>2</v>
      </c>
      <c r="N9" s="270">
        <f>'Segl 9'!O19</f>
        <v>3</v>
      </c>
      <c r="O9" s="270">
        <f>'Segl 10'!O19</f>
        <v>3</v>
      </c>
      <c r="P9" s="34">
        <f t="shared" ref="P9:P21" si="0">SUMIF(F9:O9,"&gt;0")</f>
        <v>34</v>
      </c>
      <c r="Q9" s="35">
        <v>9</v>
      </c>
      <c r="R9" s="36">
        <v>12</v>
      </c>
      <c r="S9" s="37">
        <f t="shared" ref="S9:S21" si="1">IF(R9&gt;0,RANK(R9,R$9:R$21,1),0)</f>
        <v>3</v>
      </c>
    </row>
    <row r="10" spans="1:19" ht="20" customHeight="1" x14ac:dyDescent="0.2">
      <c r="A10" s="38">
        <v>2</v>
      </c>
      <c r="B10" s="39" t="s">
        <v>137</v>
      </c>
      <c r="C10" s="40">
        <v>707</v>
      </c>
      <c r="D10" s="206">
        <v>0.86799999999999999</v>
      </c>
      <c r="E10" s="39"/>
      <c r="F10" s="42">
        <f>'Segl 1'!O20</f>
        <v>5</v>
      </c>
      <c r="G10" s="271">
        <f>'Segl 2'!O20</f>
        <v>2</v>
      </c>
      <c r="H10" s="271">
        <f>'Segl 3'!O20</f>
        <v>3</v>
      </c>
      <c r="I10" s="271">
        <f>'Segl 4'!O20</f>
        <v>1</v>
      </c>
      <c r="J10" s="42">
        <f>'Segl 5'!O20</f>
        <v>4</v>
      </c>
      <c r="K10" s="312">
        <f>'Segl 6'!O20</f>
        <v>4</v>
      </c>
      <c r="L10" s="271">
        <f>'Segl 7'!O20</f>
        <v>3</v>
      </c>
      <c r="M10" s="271">
        <f>'Segl 8'!O20</f>
        <v>4</v>
      </c>
      <c r="N10" s="312">
        <f>'Segl 9'!O20</f>
        <v>6</v>
      </c>
      <c r="O10" s="42">
        <f>'Segl 10'!O20</f>
        <v>5</v>
      </c>
      <c r="P10" s="34">
        <f t="shared" si="0"/>
        <v>37</v>
      </c>
      <c r="Q10" s="43">
        <v>8</v>
      </c>
      <c r="R10" s="34">
        <v>13</v>
      </c>
      <c r="S10" s="44">
        <f t="shared" si="1"/>
        <v>4</v>
      </c>
    </row>
    <row r="11" spans="1:19" ht="20" customHeight="1" x14ac:dyDescent="0.2">
      <c r="A11" s="38">
        <v>3</v>
      </c>
      <c r="B11" s="39" t="s">
        <v>151</v>
      </c>
      <c r="C11" s="40">
        <v>707</v>
      </c>
      <c r="D11" s="206">
        <v>0.86799999999999999</v>
      </c>
      <c r="E11" s="39"/>
      <c r="F11" s="42">
        <f>'Segl 1'!O21</f>
        <v>1</v>
      </c>
      <c r="G11" s="42">
        <f>'Segl 2'!O21</f>
        <v>1</v>
      </c>
      <c r="H11" s="271">
        <f>'Segl 3'!O21</f>
        <v>1</v>
      </c>
      <c r="I11" s="312">
        <f>'Segl 4'!O21</f>
        <v>5</v>
      </c>
      <c r="J11" s="271">
        <f>'Segl 5'!O21</f>
        <v>1</v>
      </c>
      <c r="K11" s="312">
        <f>'Segl 6'!O21</f>
        <v>4</v>
      </c>
      <c r="L11" s="42">
        <f>'Segl 7'!O21</f>
        <v>2</v>
      </c>
      <c r="M11" s="271">
        <f>'Segl 8'!O21</f>
        <v>1</v>
      </c>
      <c r="N11" s="271">
        <f>'Segl 9'!O21</f>
        <v>1</v>
      </c>
      <c r="O11" s="271">
        <f>'Segl 10'!O21</f>
        <v>1</v>
      </c>
      <c r="P11" s="34">
        <f t="shared" si="0"/>
        <v>18</v>
      </c>
      <c r="Q11" s="43">
        <v>8</v>
      </c>
      <c r="R11" s="34">
        <v>5</v>
      </c>
      <c r="S11" s="323">
        <f t="shared" si="1"/>
        <v>1</v>
      </c>
    </row>
    <row r="12" spans="1:19" ht="20" customHeight="1" x14ac:dyDescent="0.2">
      <c r="A12" s="38">
        <v>4</v>
      </c>
      <c r="B12" s="39" t="s">
        <v>152</v>
      </c>
      <c r="C12" s="40" t="s">
        <v>153</v>
      </c>
      <c r="D12" s="206">
        <v>0.86799999999999999</v>
      </c>
      <c r="E12" s="39"/>
      <c r="F12" s="42">
        <f>'Segl 1'!O22</f>
        <v>3</v>
      </c>
      <c r="G12" s="312">
        <f>'Segl 2'!O22</f>
        <v>5</v>
      </c>
      <c r="H12" s="42">
        <f>'Segl 3'!O22</f>
        <v>4</v>
      </c>
      <c r="I12" s="271">
        <f>'Segl 4'!O22</f>
        <v>2</v>
      </c>
      <c r="J12" s="271">
        <f>'Segl 5'!O22</f>
        <v>2</v>
      </c>
      <c r="K12" s="312">
        <f>'Segl 6'!O22</f>
        <v>4</v>
      </c>
      <c r="L12" s="271">
        <f>'Segl 7'!O22</f>
        <v>1</v>
      </c>
      <c r="M12" s="42">
        <f>'Segl 8'!O22</f>
        <v>3</v>
      </c>
      <c r="N12" s="271">
        <f>'Segl 9'!O22</f>
        <v>2</v>
      </c>
      <c r="O12" s="271">
        <f>'Segl 10'!O22</f>
        <v>2</v>
      </c>
      <c r="P12" s="34">
        <f t="shared" si="0"/>
        <v>28</v>
      </c>
      <c r="Q12" s="43">
        <v>8</v>
      </c>
      <c r="R12" s="34">
        <v>9</v>
      </c>
      <c r="S12" s="44">
        <f t="shared" si="1"/>
        <v>2</v>
      </c>
    </row>
    <row r="13" spans="1:19" ht="20" customHeight="1" x14ac:dyDescent="0.2">
      <c r="A13" s="38">
        <v>5</v>
      </c>
      <c r="B13" s="39" t="s">
        <v>154</v>
      </c>
      <c r="C13" s="40" t="s">
        <v>155</v>
      </c>
      <c r="D13" s="206">
        <v>0.85199999999999998</v>
      </c>
      <c r="E13" s="39"/>
      <c r="F13" s="42">
        <f>'Segl 1'!O23</f>
        <v>6</v>
      </c>
      <c r="G13" s="42">
        <f>'Segl 2'!O23</f>
        <v>4</v>
      </c>
      <c r="H13" s="271">
        <f>'Segl 3'!O23</f>
        <v>2</v>
      </c>
      <c r="I13" s="271">
        <f>'Segl 4'!O23</f>
        <v>4</v>
      </c>
      <c r="J13" s="42">
        <f>'Segl 5'!O23</f>
        <v>5</v>
      </c>
      <c r="K13" s="271">
        <f>'Segl 6'!O23</f>
        <v>3</v>
      </c>
      <c r="L13" s="42">
        <f>'Segl 7'!O23</f>
        <v>5</v>
      </c>
      <c r="M13" s="42">
        <f>'Segl 8'!O23</f>
        <v>5</v>
      </c>
      <c r="N13" s="271">
        <f>'Segl 9'!O23</f>
        <v>4</v>
      </c>
      <c r="O13" s="271">
        <f>'Segl 10'!O23</f>
        <v>4</v>
      </c>
      <c r="P13" s="34">
        <f t="shared" si="0"/>
        <v>42</v>
      </c>
      <c r="Q13" s="43">
        <v>10</v>
      </c>
      <c r="R13" s="34">
        <v>17</v>
      </c>
      <c r="S13" s="44">
        <f t="shared" si="1"/>
        <v>5</v>
      </c>
    </row>
    <row r="14" spans="1:19" ht="20" customHeight="1" x14ac:dyDescent="0.2">
      <c r="A14" s="38">
        <v>6</v>
      </c>
      <c r="B14" s="39" t="s">
        <v>156</v>
      </c>
      <c r="C14" s="40" t="s">
        <v>157</v>
      </c>
      <c r="D14" s="206">
        <v>0.745</v>
      </c>
      <c r="E14" s="46"/>
      <c r="F14" s="271">
        <f>'Segl 1'!O24</f>
        <v>7</v>
      </c>
      <c r="G14" s="312">
        <f>'Segl 2'!O24</f>
        <v>5</v>
      </c>
      <c r="H14" s="288">
        <f>'Segl 3'!O24</f>
        <v>7</v>
      </c>
      <c r="I14" s="312">
        <f>'Segl 4'!O24</f>
        <v>5</v>
      </c>
      <c r="J14" s="271">
        <f>'Segl 5'!O24</f>
        <v>7</v>
      </c>
      <c r="K14" s="312">
        <f>'Segl 6'!O24</f>
        <v>4</v>
      </c>
      <c r="L14" s="288">
        <f>'Segl 7'!O24</f>
        <v>7</v>
      </c>
      <c r="M14" s="288">
        <f>'Segl 8'!O24</f>
        <v>7</v>
      </c>
      <c r="N14" s="312">
        <f>'Segl 9'!O24</f>
        <v>6</v>
      </c>
      <c r="O14" s="312">
        <f>'Segl 10'!O24</f>
        <v>6</v>
      </c>
      <c r="P14" s="34">
        <f t="shared" si="0"/>
        <v>61</v>
      </c>
      <c r="Q14" s="43">
        <v>2</v>
      </c>
      <c r="R14" s="34">
        <v>35</v>
      </c>
      <c r="S14" s="44">
        <f t="shared" si="1"/>
        <v>8</v>
      </c>
    </row>
    <row r="15" spans="1:19" ht="20" customHeight="1" x14ac:dyDescent="0.2">
      <c r="A15" s="38">
        <v>7</v>
      </c>
      <c r="B15" s="39" t="s">
        <v>158</v>
      </c>
      <c r="C15" s="40" t="s">
        <v>159</v>
      </c>
      <c r="D15" s="206">
        <v>0.81</v>
      </c>
      <c r="E15" s="46"/>
      <c r="F15" s="271">
        <f>'Segl 1'!O25</f>
        <v>2</v>
      </c>
      <c r="G15" s="271">
        <f>'Segl 2'!O25</f>
        <v>3</v>
      </c>
      <c r="H15" s="312">
        <f>'Segl 3'!O25</f>
        <v>7</v>
      </c>
      <c r="I15" s="271">
        <f>'Segl 4'!O25</f>
        <v>3</v>
      </c>
      <c r="J15" s="271">
        <f>'Segl 5'!O25</f>
        <v>6</v>
      </c>
      <c r="K15" s="312">
        <f>'Segl 6'!O25</f>
        <v>4</v>
      </c>
      <c r="L15" s="312">
        <f>'Segl 7'!O25</f>
        <v>7</v>
      </c>
      <c r="M15" s="288">
        <f>'Segl 8'!O25</f>
        <v>7</v>
      </c>
      <c r="N15" s="312">
        <f>'Segl 9'!O25</f>
        <v>6</v>
      </c>
      <c r="O15" s="312">
        <f>'Segl 10'!O25</f>
        <v>6</v>
      </c>
      <c r="P15" s="34">
        <f t="shared" si="0"/>
        <v>51</v>
      </c>
      <c r="Q15" s="43">
        <v>4</v>
      </c>
      <c r="R15" s="34">
        <v>21</v>
      </c>
      <c r="S15" s="44">
        <f t="shared" si="1"/>
        <v>6</v>
      </c>
    </row>
    <row r="16" spans="1:19" ht="20" customHeight="1" x14ac:dyDescent="0.2">
      <c r="A16" s="38">
        <v>8</v>
      </c>
      <c r="B16" s="39" t="s">
        <v>180</v>
      </c>
      <c r="C16" s="39" t="s">
        <v>181</v>
      </c>
      <c r="D16" s="206">
        <v>0.76600000000000001</v>
      </c>
      <c r="E16" s="46"/>
      <c r="F16" s="312">
        <f>'Segl 1'!O26</f>
        <v>8</v>
      </c>
      <c r="G16" s="312">
        <f>'Segl 2'!O26</f>
        <v>5</v>
      </c>
      <c r="H16" s="271">
        <f>'Segl 3'!O26</f>
        <v>6</v>
      </c>
      <c r="I16" s="312">
        <f>'Segl 4'!O26</f>
        <v>5</v>
      </c>
      <c r="J16" s="312">
        <f>'Segl 5'!O26</f>
        <v>8</v>
      </c>
      <c r="K16" s="271">
        <f>'Segl 6'!O26</f>
        <v>2</v>
      </c>
      <c r="L16" s="271">
        <f>'Segl 7'!O26</f>
        <v>6</v>
      </c>
      <c r="M16" s="271">
        <f>'Segl 8'!O26</f>
        <v>6</v>
      </c>
      <c r="N16" s="271">
        <f>'Segl 9'!O26</f>
        <v>5</v>
      </c>
      <c r="O16" s="312">
        <f>'Segl 10'!O26</f>
        <v>6</v>
      </c>
      <c r="P16" s="34">
        <f t="shared" si="0"/>
        <v>57</v>
      </c>
      <c r="Q16" s="43">
        <v>5</v>
      </c>
      <c r="R16" s="34">
        <v>25</v>
      </c>
      <c r="S16" s="44">
        <f t="shared" si="1"/>
        <v>7</v>
      </c>
    </row>
    <row r="17" spans="1:20" ht="20" customHeight="1" x14ac:dyDescent="0.2">
      <c r="A17" s="38">
        <v>9</v>
      </c>
      <c r="B17" s="39"/>
      <c r="C17" s="40"/>
      <c r="D17" s="206"/>
      <c r="E17" s="46"/>
      <c r="F17" s="42">
        <f>'Segl 1'!O27</f>
        <v>-5</v>
      </c>
      <c r="G17" s="42">
        <f>'Segl 2'!O27</f>
        <v>-9</v>
      </c>
      <c r="H17" s="42">
        <f>'Segl 3'!O27</f>
        <v>-6</v>
      </c>
      <c r="I17" s="42">
        <f>'Segl 4'!O27</f>
        <v>-8</v>
      </c>
      <c r="J17" s="42">
        <f>'Segl 5'!O27</f>
        <v>-5</v>
      </c>
      <c r="K17" s="42">
        <f>'Segl 6'!O27</f>
        <v>-9</v>
      </c>
      <c r="L17" s="42">
        <f>'Segl 7'!O27</f>
        <v>-6</v>
      </c>
      <c r="M17" s="42">
        <f>'Segl 8'!O27</f>
        <v>-6</v>
      </c>
      <c r="N17" s="42">
        <f>'Segl 9'!O27</f>
        <v>-7</v>
      </c>
      <c r="O17" s="42">
        <f>'Segl 10'!O27</f>
        <v>0</v>
      </c>
      <c r="P17" s="34">
        <f t="shared" si="0"/>
        <v>0</v>
      </c>
      <c r="Q17" s="43"/>
      <c r="R17" s="34"/>
      <c r="S17" s="44">
        <f t="shared" si="1"/>
        <v>0</v>
      </c>
    </row>
    <row r="18" spans="1:20" ht="20" customHeight="1" x14ac:dyDescent="0.2">
      <c r="A18" s="38">
        <v>10</v>
      </c>
      <c r="B18" s="39"/>
      <c r="C18" s="39"/>
      <c r="D18" s="206"/>
      <c r="E18" s="46"/>
      <c r="F18" s="42">
        <f>'Segl 1'!O28</f>
        <v>-5</v>
      </c>
      <c r="G18" s="42">
        <f>'Segl 2'!O28</f>
        <v>-9</v>
      </c>
      <c r="H18" s="42">
        <f>'Segl 3'!O28</f>
        <v>-6</v>
      </c>
      <c r="I18" s="42">
        <f>'Segl 4'!O28</f>
        <v>-8</v>
      </c>
      <c r="J18" s="42">
        <f>'Segl 5'!O28</f>
        <v>-5</v>
      </c>
      <c r="K18" s="42">
        <f>'Segl 6'!O28</f>
        <v>-9</v>
      </c>
      <c r="L18" s="42">
        <f>'Segl 7'!O28</f>
        <v>-6</v>
      </c>
      <c r="M18" s="42">
        <f>'Segl 8'!O28</f>
        <v>-6</v>
      </c>
      <c r="N18" s="42">
        <f>'Segl 9'!O28</f>
        <v>-7</v>
      </c>
      <c r="O18" s="42">
        <f>'Segl 10'!O28</f>
        <v>-7</v>
      </c>
      <c r="P18" s="34">
        <f t="shared" si="0"/>
        <v>0</v>
      </c>
      <c r="Q18" s="43"/>
      <c r="R18" s="34"/>
      <c r="S18" s="44">
        <f t="shared" si="1"/>
        <v>0</v>
      </c>
    </row>
    <row r="19" spans="1:20" ht="20" customHeight="1" x14ac:dyDescent="0.2">
      <c r="A19" s="38">
        <v>11</v>
      </c>
      <c r="B19" s="39"/>
      <c r="C19" s="39"/>
      <c r="D19" s="39"/>
      <c r="E19" s="46"/>
      <c r="F19" s="42">
        <f>'Segl 1'!O29</f>
        <v>-5</v>
      </c>
      <c r="G19" s="42">
        <f>'Segl 2'!O29</f>
        <v>-9</v>
      </c>
      <c r="H19" s="42">
        <f>'Segl 3'!O29</f>
        <v>-6</v>
      </c>
      <c r="I19" s="42">
        <f>'Segl 4'!O29</f>
        <v>-8</v>
      </c>
      <c r="J19" s="42">
        <f>'Segl 5'!O29</f>
        <v>-5</v>
      </c>
      <c r="K19" s="42">
        <f>'Segl 6'!O29</f>
        <v>-9</v>
      </c>
      <c r="L19" s="42">
        <f>'Segl 7'!O29</f>
        <v>-6</v>
      </c>
      <c r="M19" s="42">
        <f>'Segl 8'!O29</f>
        <v>-6</v>
      </c>
      <c r="N19" s="42">
        <f>'Segl 9'!O29</f>
        <v>-7</v>
      </c>
      <c r="O19" s="42">
        <f>'Segl 10'!O29</f>
        <v>-7</v>
      </c>
      <c r="P19" s="34">
        <f t="shared" si="0"/>
        <v>0</v>
      </c>
      <c r="Q19" s="43"/>
      <c r="R19" s="34"/>
      <c r="S19" s="44">
        <f t="shared" si="1"/>
        <v>0</v>
      </c>
    </row>
    <row r="20" spans="1:20" ht="20" customHeight="1" x14ac:dyDescent="0.2">
      <c r="A20" s="38">
        <v>12</v>
      </c>
      <c r="B20" s="39"/>
      <c r="C20" s="39"/>
      <c r="D20" s="206"/>
      <c r="E20" s="46"/>
      <c r="F20" s="42">
        <f>'Segl 1'!O30</f>
        <v>-5</v>
      </c>
      <c r="G20" s="42">
        <f>'Segl 2'!O30</f>
        <v>-9</v>
      </c>
      <c r="H20" s="42">
        <f>'Segl 3'!O30</f>
        <v>-6</v>
      </c>
      <c r="I20" s="42">
        <f>'Segl 4'!O30</f>
        <v>-8</v>
      </c>
      <c r="J20" s="42">
        <f>'Segl 5'!O30</f>
        <v>-5</v>
      </c>
      <c r="K20" s="42">
        <f>'Segl 6'!O30</f>
        <v>-9</v>
      </c>
      <c r="L20" s="42">
        <f>'Segl 7'!O30</f>
        <v>-6</v>
      </c>
      <c r="M20" s="42">
        <f>'Segl 8'!O30</f>
        <v>-6</v>
      </c>
      <c r="N20" s="42">
        <f>'Segl 9'!O30</f>
        <v>-7</v>
      </c>
      <c r="O20" s="42">
        <f>'Segl 10'!O30</f>
        <v>-7</v>
      </c>
      <c r="P20" s="34">
        <f t="shared" si="0"/>
        <v>0</v>
      </c>
      <c r="Q20" s="43"/>
      <c r="R20" s="34"/>
      <c r="S20" s="44">
        <f t="shared" si="1"/>
        <v>0</v>
      </c>
    </row>
    <row r="21" spans="1:20" ht="20" customHeight="1" thickBot="1" x14ac:dyDescent="0.25">
      <c r="A21" s="47">
        <v>13</v>
      </c>
      <c r="B21" s="48"/>
      <c r="C21" s="49"/>
      <c r="D21" s="209"/>
      <c r="E21" s="51"/>
      <c r="F21" s="52">
        <f>'Segl 1'!O31</f>
        <v>-5</v>
      </c>
      <c r="G21" s="52">
        <f>'Segl 2'!O31</f>
        <v>-9</v>
      </c>
      <c r="H21" s="52">
        <f>'Segl 3'!O31</f>
        <v>0</v>
      </c>
      <c r="I21" s="219">
        <f>'Segl 4'!O31</f>
        <v>-8</v>
      </c>
      <c r="J21" s="218">
        <f>'Segl 5'!O31</f>
        <v>-5</v>
      </c>
      <c r="K21" s="52">
        <f>'Segl 6'!O31</f>
        <v>-9</v>
      </c>
      <c r="L21" s="218">
        <f>'Segl 7'!O31</f>
        <v>-6</v>
      </c>
      <c r="M21" s="218">
        <f>'Segl 8'!O31</f>
        <v>-6</v>
      </c>
      <c r="N21" s="218">
        <f>'Segl 9'!O31</f>
        <v>-7</v>
      </c>
      <c r="O21" s="218">
        <f>'Segl 10'!O31</f>
        <v>-7</v>
      </c>
      <c r="P21" s="216">
        <f t="shared" si="0"/>
        <v>0</v>
      </c>
      <c r="Q21" s="54"/>
      <c r="R21" s="54"/>
      <c r="S21" s="55">
        <f t="shared" si="1"/>
        <v>0</v>
      </c>
    </row>
    <row r="22" spans="1:20" ht="20" customHeight="1" x14ac:dyDescent="0.15"/>
    <row r="23" spans="1:20" ht="20" customHeight="1" x14ac:dyDescent="0.15">
      <c r="A23" s="1" t="s">
        <v>16</v>
      </c>
      <c r="G23" s="1" t="s">
        <v>17</v>
      </c>
      <c r="I23" s="56"/>
    </row>
    <row r="24" spans="1:20" ht="20" customHeight="1" x14ac:dyDescent="0.15">
      <c r="A24" s="57" t="s">
        <v>18</v>
      </c>
      <c r="G24" s="1" t="s">
        <v>19</v>
      </c>
      <c r="I24" s="56"/>
    </row>
    <row r="25" spans="1:20" ht="20" customHeight="1" x14ac:dyDescent="0.15">
      <c r="G25" s="58" t="s">
        <v>20</v>
      </c>
      <c r="H25" s="58"/>
      <c r="I25" s="59"/>
    </row>
    <row r="26" spans="1:20" ht="20" customHeight="1" x14ac:dyDescent="0.15">
      <c r="A26" s="60"/>
      <c r="B26" s="1" t="s">
        <v>21</v>
      </c>
      <c r="G26" s="1" t="s">
        <v>22</v>
      </c>
    </row>
    <row r="27" spans="1:20" ht="20" customHeight="1" x14ac:dyDescent="0.2">
      <c r="B27" s="61"/>
      <c r="G27" s="1" t="s">
        <v>23</v>
      </c>
    </row>
    <row r="28" spans="1:20" ht="20" customHeight="1" x14ac:dyDescent="0.15">
      <c r="G28" s="1" t="s">
        <v>24</v>
      </c>
    </row>
    <row r="29" spans="1:20" ht="20" customHeight="1" x14ac:dyDescent="0.15"/>
    <row r="30" spans="1:20" ht="20" customHeight="1" x14ac:dyDescent="0.15">
      <c r="K30"/>
      <c r="L30"/>
      <c r="M30"/>
      <c r="N30"/>
      <c r="O30"/>
      <c r="P30"/>
      <c r="Q30"/>
      <c r="R30"/>
      <c r="S30"/>
      <c r="T30"/>
    </row>
    <row r="31" spans="1:20" ht="20" customHeight="1" x14ac:dyDescent="0.15">
      <c r="B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</row>
    <row r="32" spans="1:20" ht="20" customHeight="1" x14ac:dyDescent="0.15">
      <c r="B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</row>
    <row r="33" spans="2:20" ht="20" customHeight="1" x14ac:dyDescent="0.15">
      <c r="B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</row>
    <row r="34" spans="2:20" ht="20" customHeight="1" x14ac:dyDescent="0.15">
      <c r="B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</row>
    <row r="35" spans="2:20" ht="15" customHeight="1" x14ac:dyDescent="0.15">
      <c r="B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</row>
    <row r="36" spans="2:20" ht="15" customHeight="1" x14ac:dyDescent="0.15">
      <c r="B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</row>
    <row r="37" spans="2:20" ht="15" customHeight="1" x14ac:dyDescent="0.15">
      <c r="B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</row>
    <row r="38" spans="2:20" ht="15" customHeight="1" x14ac:dyDescent="0.15">
      <c r="B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</row>
    <row r="39" spans="2:20" x14ac:dyDescent="0.15">
      <c r="B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</row>
    <row r="40" spans="2:20" ht="15" customHeight="1" x14ac:dyDescent="0.15">
      <c r="B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</row>
    <row r="41" spans="2:20" x14ac:dyDescent="0.15">
      <c r="B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</row>
    <row r="42" spans="2:20" x14ac:dyDescent="0.15">
      <c r="B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</row>
  </sheetData>
  <sheetProtection selectLockedCells="1" selectUnlockedCells="1"/>
  <phoneticPr fontId="12" type="noConversion"/>
  <printOptions horizontalCentered="1"/>
  <pageMargins left="0" right="0" top="0.39374999999999999" bottom="0.39374999999999999" header="0.51180555555555551" footer="0.51180555555555551"/>
  <pageSetup paperSize="9" firstPageNumber="0" orientation="landscape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F517C-8379-0E42-BEBC-A3CA43F5106B}">
  <sheetPr codeName="Blad2"/>
  <dimension ref="A1:O31"/>
  <sheetViews>
    <sheetView zoomScale="110" zoomScaleNormal="110" workbookViewId="0">
      <selection activeCell="J3" sqref="J3"/>
    </sheetView>
  </sheetViews>
  <sheetFormatPr baseColWidth="10" defaultColWidth="9.25" defaultRowHeight="13" x14ac:dyDescent="0.15"/>
  <cols>
    <col min="1" max="1" width="6.75" style="1" customWidth="1"/>
    <col min="2" max="2" width="25.25" style="1" customWidth="1"/>
    <col min="3" max="3" width="27.25" style="1" customWidth="1"/>
    <col min="4" max="4" width="17.75" style="1" customWidth="1"/>
    <col min="5" max="5" width="15.25" style="2" customWidth="1"/>
    <col min="6" max="6" width="6.75" style="1" customWidth="1"/>
    <col min="7" max="7" width="6.5" style="1" customWidth="1"/>
    <col min="8" max="8" width="16.25" style="1" customWidth="1"/>
    <col min="9" max="9" width="15" style="1" customWidth="1"/>
    <col min="10" max="11" width="11.75" style="1" customWidth="1"/>
    <col min="12" max="15" width="8.75" style="1" customWidth="1"/>
    <col min="16" max="16" width="7.75" style="1" customWidth="1"/>
    <col min="17" max="17" width="6.75" style="1" customWidth="1"/>
    <col min="18" max="16384" width="9.25" style="1"/>
  </cols>
  <sheetData>
    <row r="1" spans="1:15" ht="6" customHeight="1" x14ac:dyDescent="0.15"/>
    <row r="2" spans="1:15" ht="24" customHeight="1" x14ac:dyDescent="0.25">
      <c r="A2" s="3"/>
      <c r="G2" s="4" t="str">
        <f>Sammanställning!G2</f>
        <v>HSS Torsdagscup 2026</v>
      </c>
      <c r="H2" s="5"/>
      <c r="I2" s="5"/>
    </row>
    <row r="3" spans="1:15" ht="20" customHeight="1" x14ac:dyDescent="0.2">
      <c r="G3" s="6" t="s">
        <v>131</v>
      </c>
      <c r="H3" s="5"/>
      <c r="I3" s="5"/>
      <c r="J3" s="5"/>
    </row>
    <row r="4" spans="1:15" ht="7" customHeight="1" thickBot="1" x14ac:dyDescent="0.25">
      <c r="A4" s="3"/>
    </row>
    <row r="5" spans="1:15" ht="15" customHeight="1" thickBot="1" x14ac:dyDescent="0.2">
      <c r="A5" s="62" t="s">
        <v>26</v>
      </c>
      <c r="B5" s="63"/>
      <c r="C5" s="325"/>
      <c r="D5" s="325"/>
      <c r="E5" s="64" t="s">
        <v>27</v>
      </c>
      <c r="F5" s="65"/>
      <c r="G5" s="66"/>
      <c r="H5" s="67"/>
      <c r="I5" s="68"/>
      <c r="K5" s="69" t="s">
        <v>28</v>
      </c>
      <c r="L5" s="70"/>
      <c r="M5" s="70"/>
      <c r="N5" s="70"/>
      <c r="O5" s="71"/>
    </row>
    <row r="6" spans="1:15" ht="20" customHeight="1" thickBot="1" x14ac:dyDescent="0.2">
      <c r="A6" s="72" t="s">
        <v>29</v>
      </c>
      <c r="B6" s="73"/>
      <c r="C6" s="326"/>
      <c r="D6" s="326"/>
      <c r="E6" s="74" t="s">
        <v>30</v>
      </c>
      <c r="F6" s="75"/>
      <c r="G6" s="76"/>
      <c r="H6" s="77"/>
      <c r="I6" s="78" t="s">
        <v>31</v>
      </c>
      <c r="K6" s="79" t="s">
        <v>32</v>
      </c>
      <c r="L6" s="327"/>
      <c r="M6" s="327"/>
      <c r="N6" s="327"/>
      <c r="O6" s="327"/>
    </row>
    <row r="7" spans="1:15" ht="20" customHeight="1" x14ac:dyDescent="0.15">
      <c r="A7" s="80" t="s">
        <v>33</v>
      </c>
      <c r="B7" s="81"/>
      <c r="C7" s="328"/>
      <c r="D7" s="328"/>
      <c r="E7" s="82" t="s">
        <v>34</v>
      </c>
      <c r="F7" s="83"/>
      <c r="G7" s="66" t="s">
        <v>35</v>
      </c>
      <c r="H7" s="65"/>
      <c r="I7" s="84" t="s">
        <v>36</v>
      </c>
      <c r="K7" s="85" t="s">
        <v>37</v>
      </c>
      <c r="L7" s="329"/>
      <c r="M7" s="329"/>
      <c r="N7" s="329"/>
      <c r="O7" s="86" t="s">
        <v>38</v>
      </c>
    </row>
    <row r="8" spans="1:15" ht="20" customHeight="1" thickBot="1" x14ac:dyDescent="0.2">
      <c r="A8" s="87" t="s">
        <v>39</v>
      </c>
      <c r="B8" s="88"/>
      <c r="C8" s="330"/>
      <c r="D8" s="330"/>
      <c r="E8" s="89" t="s">
        <v>40</v>
      </c>
      <c r="G8" s="90"/>
      <c r="H8" s="91"/>
      <c r="I8" s="92"/>
      <c r="K8" s="93" t="s">
        <v>41</v>
      </c>
      <c r="L8" s="331"/>
      <c r="M8" s="331"/>
      <c r="N8" s="331"/>
      <c r="O8" s="331"/>
    </row>
    <row r="9" spans="1:15" ht="16" customHeight="1" thickBot="1" x14ac:dyDescent="0.2">
      <c r="C9" s="5"/>
      <c r="D9" s="58"/>
      <c r="E9" s="94"/>
      <c r="G9" s="90"/>
      <c r="H9" s="91"/>
      <c r="I9" s="92"/>
      <c r="K9" s="62" t="s">
        <v>42</v>
      </c>
      <c r="L9" s="65"/>
      <c r="M9" s="95"/>
      <c r="N9" s="95"/>
      <c r="O9" s="96"/>
    </row>
    <row r="10" spans="1:15" ht="20" customHeight="1" thickBot="1" x14ac:dyDescent="0.2">
      <c r="A10" s="69" t="s">
        <v>43</v>
      </c>
      <c r="B10" s="70"/>
      <c r="C10" s="324"/>
      <c r="D10" s="324"/>
      <c r="E10" s="94"/>
      <c r="G10" s="90" t="s">
        <v>44</v>
      </c>
      <c r="H10" s="91"/>
      <c r="I10" s="92" t="s">
        <v>45</v>
      </c>
      <c r="K10" s="97"/>
      <c r="L10" s="98" t="s">
        <v>46</v>
      </c>
      <c r="M10" s="99" t="s">
        <v>47</v>
      </c>
      <c r="N10" s="98" t="s">
        <v>48</v>
      </c>
      <c r="O10" s="100" t="s">
        <v>49</v>
      </c>
    </row>
    <row r="11" spans="1:15" ht="20" customHeight="1" thickBot="1" x14ac:dyDescent="0.2">
      <c r="E11" s="94"/>
      <c r="G11" s="101" t="s">
        <v>50</v>
      </c>
      <c r="H11" s="102"/>
      <c r="I11" s="103" t="s">
        <v>51</v>
      </c>
      <c r="K11" s="104"/>
      <c r="L11" s="27" t="s">
        <v>52</v>
      </c>
      <c r="M11" s="22" t="s">
        <v>67</v>
      </c>
      <c r="N11" s="27" t="s">
        <v>52</v>
      </c>
      <c r="O11" s="105" t="s">
        <v>67</v>
      </c>
    </row>
    <row r="12" spans="1:15" ht="20" customHeight="1" x14ac:dyDescent="0.15">
      <c r="E12" s="94"/>
      <c r="G12" s="101" t="s">
        <v>135</v>
      </c>
      <c r="H12" s="102"/>
      <c r="I12" s="103" t="s">
        <v>54</v>
      </c>
      <c r="K12" s="72" t="s">
        <v>55</v>
      </c>
      <c r="L12" s="106"/>
      <c r="M12" s="107"/>
      <c r="N12" s="108"/>
      <c r="O12" s="109"/>
    </row>
    <row r="13" spans="1:15" ht="20" customHeight="1" thickBot="1" x14ac:dyDescent="0.2">
      <c r="D13" s="110"/>
      <c r="E13" s="111"/>
      <c r="F13" s="75"/>
      <c r="G13" s="112" t="s">
        <v>133</v>
      </c>
      <c r="H13" s="113"/>
      <c r="I13" s="114" t="s">
        <v>134</v>
      </c>
      <c r="K13" s="87" t="s">
        <v>56</v>
      </c>
      <c r="L13" s="115"/>
      <c r="M13" s="115"/>
      <c r="N13" s="53"/>
      <c r="O13" s="116"/>
    </row>
    <row r="14" spans="1:15" ht="7" customHeight="1" thickBot="1" x14ac:dyDescent="0.2"/>
    <row r="15" spans="1:15" ht="20" customHeight="1" x14ac:dyDescent="0.15">
      <c r="A15" s="8" t="s">
        <v>1</v>
      </c>
      <c r="B15" s="9" t="s">
        <v>2</v>
      </c>
      <c r="C15" s="11" t="s">
        <v>57</v>
      </c>
      <c r="D15" s="11" t="s">
        <v>58</v>
      </c>
      <c r="E15" s="11" t="s">
        <v>3</v>
      </c>
      <c r="F15" s="11" t="s">
        <v>59</v>
      </c>
      <c r="G15" s="11" t="s">
        <v>60</v>
      </c>
      <c r="H15" s="11" t="s">
        <v>61</v>
      </c>
      <c r="I15" s="11" t="s">
        <v>62</v>
      </c>
      <c r="J15" s="11" t="s">
        <v>63</v>
      </c>
      <c r="K15" s="11" t="s">
        <v>64</v>
      </c>
      <c r="L15" s="11" t="s">
        <v>65</v>
      </c>
      <c r="M15" s="11" t="s">
        <v>46</v>
      </c>
      <c r="N15" s="11" t="s">
        <v>46</v>
      </c>
      <c r="O15" s="14" t="s">
        <v>66</v>
      </c>
    </row>
    <row r="16" spans="1:15" ht="20" customHeight="1" x14ac:dyDescent="0.15">
      <c r="A16" s="117"/>
      <c r="B16" s="16"/>
      <c r="C16" s="18"/>
      <c r="D16" s="18"/>
      <c r="E16" s="17"/>
      <c r="F16" s="18" t="s">
        <v>67</v>
      </c>
      <c r="G16" s="18" t="s">
        <v>68</v>
      </c>
      <c r="H16" s="18"/>
      <c r="I16" s="18"/>
      <c r="J16" s="18" t="s">
        <v>48</v>
      </c>
      <c r="K16" s="18" t="s">
        <v>69</v>
      </c>
      <c r="L16" s="18" t="s">
        <v>70</v>
      </c>
      <c r="M16" s="18" t="s">
        <v>71</v>
      </c>
      <c r="N16" s="18" t="s">
        <v>71</v>
      </c>
      <c r="O16" s="20"/>
    </row>
    <row r="17" spans="1:15" ht="20" customHeight="1" x14ac:dyDescent="0.15">
      <c r="A17" s="117"/>
      <c r="B17" s="16"/>
      <c r="C17" s="18"/>
      <c r="D17" s="18"/>
      <c r="E17" s="17"/>
      <c r="F17" s="18"/>
      <c r="G17" s="118"/>
      <c r="H17" s="18"/>
      <c r="I17" s="18"/>
      <c r="J17" s="18"/>
      <c r="K17" s="18" t="s">
        <v>48</v>
      </c>
      <c r="L17" s="18"/>
      <c r="M17" s="18" t="s">
        <v>52</v>
      </c>
      <c r="N17" s="18" t="s">
        <v>67</v>
      </c>
      <c r="O17" s="20"/>
    </row>
    <row r="18" spans="1:15" ht="20" customHeight="1" thickBot="1" x14ac:dyDescent="0.2">
      <c r="A18" s="117"/>
      <c r="B18" s="16"/>
      <c r="C18" s="18"/>
      <c r="D18" s="18"/>
      <c r="E18" s="17"/>
      <c r="F18" s="18"/>
      <c r="G18" s="118" t="s">
        <v>72</v>
      </c>
      <c r="H18" s="118" t="s">
        <v>73</v>
      </c>
      <c r="I18" s="118" t="s">
        <v>73</v>
      </c>
      <c r="J18" s="118" t="s">
        <v>74</v>
      </c>
      <c r="K18" s="118" t="s">
        <v>74</v>
      </c>
      <c r="L18" s="118" t="s">
        <v>74</v>
      </c>
      <c r="M18" s="118" t="s">
        <v>47</v>
      </c>
      <c r="N18" s="118" t="s">
        <v>47</v>
      </c>
      <c r="O18" s="20"/>
    </row>
    <row r="19" spans="1:15" ht="20" customHeight="1" x14ac:dyDescent="0.15">
      <c r="A19" s="247">
        <v>1</v>
      </c>
      <c r="B19" s="248"/>
      <c r="C19" s="248"/>
      <c r="D19" s="249"/>
      <c r="E19" s="249"/>
      <c r="F19" s="250"/>
      <c r="G19" s="251"/>
      <c r="H19" s="252"/>
      <c r="I19" s="252"/>
      <c r="J19" s="253"/>
      <c r="K19" s="253"/>
      <c r="L19" s="254"/>
      <c r="M19" s="255"/>
      <c r="N19" s="255"/>
      <c r="O19" s="256"/>
    </row>
    <row r="20" spans="1:15" ht="20" customHeight="1" x14ac:dyDescent="0.15">
      <c r="A20" s="257">
        <v>2</v>
      </c>
      <c r="B20" s="39"/>
      <c r="C20" s="39"/>
      <c r="D20" s="40"/>
      <c r="E20" s="40"/>
      <c r="F20" s="41"/>
      <c r="G20" s="46"/>
      <c r="H20" s="122"/>
      <c r="I20" s="122"/>
      <c r="J20" s="34"/>
      <c r="K20" s="34"/>
      <c r="L20" s="123"/>
      <c r="M20" s="124"/>
      <c r="N20" s="124"/>
      <c r="O20" s="258"/>
    </row>
    <row r="21" spans="1:15" ht="20" customHeight="1" x14ac:dyDescent="0.15">
      <c r="A21" s="257">
        <v>3</v>
      </c>
      <c r="B21" s="39"/>
      <c r="C21" s="39"/>
      <c r="D21" s="40"/>
      <c r="E21" s="40"/>
      <c r="F21" s="41"/>
      <c r="G21" s="46"/>
      <c r="H21" s="122"/>
      <c r="I21" s="122"/>
      <c r="J21" s="34"/>
      <c r="K21" s="34"/>
      <c r="L21" s="123"/>
      <c r="M21" s="124"/>
      <c r="N21" s="124"/>
      <c r="O21" s="258"/>
    </row>
    <row r="22" spans="1:15" ht="20" customHeight="1" x14ac:dyDescent="0.15">
      <c r="A22" s="257">
        <v>4</v>
      </c>
      <c r="B22" s="39"/>
      <c r="C22" s="39"/>
      <c r="D22" s="40"/>
      <c r="E22" s="40"/>
      <c r="F22" s="41"/>
      <c r="G22" s="46"/>
      <c r="H22" s="126"/>
      <c r="I22" s="122"/>
      <c r="J22" s="34"/>
      <c r="K22" s="34"/>
      <c r="L22" s="123"/>
      <c r="M22" s="124"/>
      <c r="N22" s="124"/>
      <c r="O22" s="258"/>
    </row>
    <row r="23" spans="1:15" ht="20" customHeight="1" x14ac:dyDescent="0.15">
      <c r="A23" s="257">
        <v>5</v>
      </c>
      <c r="B23" s="39"/>
      <c r="C23" s="39"/>
      <c r="D23" s="127"/>
      <c r="E23" s="40"/>
      <c r="F23" s="41"/>
      <c r="G23" s="46"/>
      <c r="H23" s="122"/>
      <c r="I23" s="122"/>
      <c r="J23" s="34"/>
      <c r="K23" s="34"/>
      <c r="L23" s="123"/>
      <c r="M23" s="124"/>
      <c r="N23" s="124"/>
      <c r="O23" s="258"/>
    </row>
    <row r="24" spans="1:15" ht="20" customHeight="1" x14ac:dyDescent="0.15">
      <c r="A24" s="257">
        <v>6</v>
      </c>
      <c r="B24" s="39"/>
      <c r="C24" s="128"/>
      <c r="D24" s="127"/>
      <c r="E24" s="40"/>
      <c r="F24" s="41"/>
      <c r="G24" s="46"/>
      <c r="H24" s="122"/>
      <c r="I24" s="122"/>
      <c r="J24" s="34"/>
      <c r="K24" s="34"/>
      <c r="L24" s="123"/>
      <c r="M24" s="124"/>
      <c r="N24" s="124"/>
      <c r="O24" s="258"/>
    </row>
    <row r="25" spans="1:15" ht="20" customHeight="1" x14ac:dyDescent="0.15">
      <c r="A25" s="257">
        <v>7</v>
      </c>
      <c r="B25" s="39"/>
      <c r="C25" s="128"/>
      <c r="D25" s="40"/>
      <c r="E25" s="40"/>
      <c r="F25" s="41"/>
      <c r="G25" s="46"/>
      <c r="H25" s="126"/>
      <c r="I25" s="122"/>
      <c r="J25" s="34"/>
      <c r="K25" s="34"/>
      <c r="L25" s="123"/>
      <c r="M25" s="124"/>
      <c r="N25" s="124"/>
      <c r="O25" s="258"/>
    </row>
    <row r="26" spans="1:15" ht="20" customHeight="1" x14ac:dyDescent="0.15">
      <c r="A26" s="257">
        <v>8</v>
      </c>
      <c r="B26" s="39"/>
      <c r="C26" s="128"/>
      <c r="D26" s="40"/>
      <c r="E26" s="40"/>
      <c r="F26" s="41"/>
      <c r="G26" s="46"/>
      <c r="H26" s="126"/>
      <c r="I26" s="122"/>
      <c r="J26" s="34"/>
      <c r="K26" s="34"/>
      <c r="L26" s="123"/>
      <c r="M26" s="124"/>
      <c r="N26" s="124"/>
      <c r="O26" s="258"/>
    </row>
    <row r="27" spans="1:15" ht="20" customHeight="1" x14ac:dyDescent="0.15">
      <c r="A27" s="257">
        <v>9</v>
      </c>
      <c r="B27" s="39"/>
      <c r="C27" s="128"/>
      <c r="D27" s="40"/>
      <c r="E27" s="40"/>
      <c r="F27" s="41"/>
      <c r="G27" s="46"/>
      <c r="H27" s="126"/>
      <c r="I27" s="122"/>
      <c r="J27" s="34"/>
      <c r="K27" s="34"/>
      <c r="L27" s="123"/>
      <c r="M27" s="124"/>
      <c r="N27" s="124"/>
      <c r="O27" s="258"/>
    </row>
    <row r="28" spans="1:15" ht="20" customHeight="1" x14ac:dyDescent="0.15">
      <c r="A28" s="257">
        <v>10</v>
      </c>
      <c r="B28" s="39"/>
      <c r="C28" s="128"/>
      <c r="D28" s="40"/>
      <c r="E28" s="40"/>
      <c r="F28" s="41"/>
      <c r="G28" s="46"/>
      <c r="H28" s="126"/>
      <c r="I28" s="122"/>
      <c r="J28" s="34"/>
      <c r="K28" s="34"/>
      <c r="L28" s="123"/>
      <c r="M28" s="124"/>
      <c r="N28" s="124"/>
      <c r="O28" s="258"/>
    </row>
    <row r="29" spans="1:15" ht="20" customHeight="1" x14ac:dyDescent="0.15">
      <c r="A29" s="257">
        <v>11</v>
      </c>
      <c r="B29" s="34"/>
      <c r="C29" s="39"/>
      <c r="D29" s="40"/>
      <c r="E29" s="129"/>
      <c r="F29" s="41"/>
      <c r="G29" s="46"/>
      <c r="H29" s="126"/>
      <c r="I29" s="122"/>
      <c r="J29" s="34"/>
      <c r="K29" s="34"/>
      <c r="L29" s="123"/>
      <c r="M29" s="124"/>
      <c r="N29" s="124"/>
      <c r="O29" s="258"/>
    </row>
    <row r="30" spans="1:15" ht="20" customHeight="1" thickBot="1" x14ac:dyDescent="0.2">
      <c r="A30" s="259">
        <v>12</v>
      </c>
      <c r="B30" s="216"/>
      <c r="C30" s="260"/>
      <c r="D30" s="261"/>
      <c r="E30" s="262"/>
      <c r="F30" s="263"/>
      <c r="G30" s="264"/>
      <c r="H30" s="265"/>
      <c r="I30" s="266"/>
      <c r="J30" s="216"/>
      <c r="K30" s="216"/>
      <c r="L30" s="267"/>
      <c r="M30" s="268"/>
      <c r="N30" s="268"/>
      <c r="O30" s="269"/>
    </row>
    <row r="31" spans="1:15" ht="20" customHeight="1" thickBot="1" x14ac:dyDescent="0.2">
      <c r="A31" s="21">
        <v>13</v>
      </c>
      <c r="B31" s="239"/>
      <c r="C31" s="240"/>
      <c r="D31" s="240"/>
      <c r="E31" s="241"/>
      <c r="F31" s="242"/>
      <c r="G31" s="24"/>
      <c r="H31" s="243"/>
      <c r="I31" s="243"/>
      <c r="J31" s="239"/>
      <c r="K31" s="239"/>
      <c r="L31" s="244"/>
      <c r="M31" s="245"/>
      <c r="N31" s="245"/>
      <c r="O31" s="246"/>
    </row>
  </sheetData>
  <sheetProtection selectLockedCells="1" selectUnlockedCells="1"/>
  <mergeCells count="8">
    <mergeCell ref="C10:D10"/>
    <mergeCell ref="C5:D5"/>
    <mergeCell ref="C6:D6"/>
    <mergeCell ref="L6:O6"/>
    <mergeCell ref="C7:D7"/>
    <mergeCell ref="L7:N7"/>
    <mergeCell ref="C8:D8"/>
    <mergeCell ref="L8:O8"/>
  </mergeCells>
  <phoneticPr fontId="12" type="noConversion"/>
  <printOptions horizontalCentered="1"/>
  <pageMargins left="0" right="0" top="0.19652777777777777" bottom="0.19652777777777777" header="0.51180555555555551" footer="0.51180555555555551"/>
  <pageSetup paperSize="9" firstPageNumber="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0068D-A5B6-EA4B-8F80-1B58385CF615}">
  <sheetPr codeName="Blad3"/>
  <dimension ref="A1:O31"/>
  <sheetViews>
    <sheetView zoomScale="87" zoomScaleNormal="87" workbookViewId="0">
      <selection activeCell="J21" sqref="J21"/>
    </sheetView>
  </sheetViews>
  <sheetFormatPr baseColWidth="10" defaultColWidth="9.25" defaultRowHeight="13" x14ac:dyDescent="0.15"/>
  <cols>
    <col min="1" max="1" width="4" style="1" customWidth="1"/>
    <col min="2" max="2" width="25.25" style="1" customWidth="1"/>
    <col min="3" max="3" width="29" style="1" customWidth="1"/>
    <col min="4" max="4" width="8.5" style="1" customWidth="1"/>
    <col min="5" max="5" width="16.75" style="2" customWidth="1"/>
    <col min="6" max="6" width="10.25" style="1" customWidth="1"/>
    <col min="7" max="7" width="6.75" style="1" customWidth="1"/>
    <col min="8" max="10" width="11.75" style="1" customWidth="1"/>
    <col min="11" max="11" width="13.75" style="1" customWidth="1"/>
    <col min="12" max="12" width="10.75" style="1" customWidth="1"/>
    <col min="13" max="13" width="8.75" style="1" customWidth="1"/>
    <col min="14" max="14" width="10.75" style="1" customWidth="1"/>
    <col min="15" max="15" width="8.75" style="1" customWidth="1"/>
    <col min="16" max="16" width="7.75" style="1" customWidth="1"/>
    <col min="17" max="17" width="6.75" style="1" customWidth="1"/>
    <col min="18" max="16384" width="9.25" style="1"/>
  </cols>
  <sheetData>
    <row r="1" spans="1:15" ht="18" customHeight="1" x14ac:dyDescent="0.15"/>
    <row r="2" spans="1:15" ht="25" customHeight="1" x14ac:dyDescent="0.25">
      <c r="A2" s="3"/>
      <c r="G2" s="4" t="str">
        <f>Sammanställning!G2</f>
        <v>HSS Torsdagscup 2026</v>
      </c>
      <c r="H2" s="5"/>
      <c r="I2" s="5"/>
    </row>
    <row r="3" spans="1:15" ht="20" customHeight="1" x14ac:dyDescent="0.2">
      <c r="G3" s="6" t="s">
        <v>25</v>
      </c>
      <c r="H3" s="5"/>
      <c r="I3" s="5"/>
      <c r="J3" s="5"/>
    </row>
    <row r="4" spans="1:15" ht="20" customHeight="1" thickBot="1" x14ac:dyDescent="0.25">
      <c r="A4" s="3"/>
    </row>
    <row r="5" spans="1:15" ht="20" customHeight="1" x14ac:dyDescent="0.15">
      <c r="A5" s="62" t="s">
        <v>26</v>
      </c>
      <c r="B5" s="63"/>
      <c r="C5" s="325">
        <v>1</v>
      </c>
      <c r="D5" s="325"/>
      <c r="E5" s="64" t="s">
        <v>27</v>
      </c>
      <c r="F5" s="65"/>
      <c r="G5" s="66"/>
      <c r="H5" s="67" t="s">
        <v>171</v>
      </c>
      <c r="I5" s="68"/>
      <c r="K5" s="69" t="s">
        <v>28</v>
      </c>
      <c r="L5" s="70"/>
      <c r="M5" s="70"/>
      <c r="N5" s="70"/>
      <c r="O5" s="71"/>
    </row>
    <row r="6" spans="1:15" ht="20" customHeight="1" x14ac:dyDescent="0.15">
      <c r="A6" s="72" t="s">
        <v>29</v>
      </c>
      <c r="B6" s="73"/>
      <c r="C6" s="326" t="s">
        <v>136</v>
      </c>
      <c r="D6" s="326"/>
      <c r="E6" s="74" t="s">
        <v>30</v>
      </c>
      <c r="F6" s="75"/>
      <c r="G6" s="76"/>
      <c r="H6" s="77">
        <v>2.19</v>
      </c>
      <c r="I6" s="78" t="s">
        <v>31</v>
      </c>
      <c r="K6" s="79" t="s">
        <v>32</v>
      </c>
      <c r="L6" s="327" t="s">
        <v>168</v>
      </c>
      <c r="M6" s="327"/>
      <c r="N6" s="327"/>
      <c r="O6" s="327"/>
    </row>
    <row r="7" spans="1:15" ht="20" customHeight="1" x14ac:dyDescent="0.15">
      <c r="A7" s="80" t="s">
        <v>33</v>
      </c>
      <c r="B7" s="81"/>
      <c r="C7" s="328">
        <v>46163</v>
      </c>
      <c r="D7" s="328"/>
      <c r="E7" s="82" t="s">
        <v>34</v>
      </c>
      <c r="F7" s="83"/>
      <c r="G7" s="66" t="s">
        <v>35</v>
      </c>
      <c r="H7" s="65"/>
      <c r="I7" s="84" t="s">
        <v>36</v>
      </c>
      <c r="K7" s="85" t="s">
        <v>37</v>
      </c>
      <c r="L7" s="332" t="s">
        <v>169</v>
      </c>
      <c r="M7" s="332"/>
      <c r="N7" s="332"/>
      <c r="O7" s="86" t="s">
        <v>38</v>
      </c>
    </row>
    <row r="8" spans="1:15" ht="20" customHeight="1" x14ac:dyDescent="0.15">
      <c r="A8" s="87" t="s">
        <v>39</v>
      </c>
      <c r="B8" s="88"/>
      <c r="C8" s="330">
        <v>0.79513888888888884</v>
      </c>
      <c r="D8" s="330"/>
      <c r="E8" s="89" t="s">
        <v>40</v>
      </c>
      <c r="G8" s="90"/>
      <c r="H8" s="91"/>
      <c r="I8" s="92"/>
      <c r="K8" s="93" t="s">
        <v>41</v>
      </c>
      <c r="L8" s="331" t="s">
        <v>170</v>
      </c>
      <c r="M8" s="331"/>
      <c r="N8" s="331"/>
      <c r="O8" s="331"/>
    </row>
    <row r="9" spans="1:15" ht="20" customHeight="1" x14ac:dyDescent="0.15">
      <c r="C9" s="5"/>
      <c r="D9" s="58"/>
      <c r="E9" s="94"/>
      <c r="G9" s="90"/>
      <c r="H9" s="91"/>
      <c r="I9" s="92"/>
      <c r="K9" s="62" t="s">
        <v>42</v>
      </c>
      <c r="L9" s="65"/>
      <c r="M9" s="95"/>
      <c r="N9" s="95"/>
      <c r="O9" s="96"/>
    </row>
    <row r="10" spans="1:15" ht="20" customHeight="1" x14ac:dyDescent="0.15">
      <c r="A10" s="69" t="s">
        <v>43</v>
      </c>
      <c r="B10" s="70"/>
      <c r="C10" s="324" t="s">
        <v>167</v>
      </c>
      <c r="D10" s="324"/>
      <c r="E10" s="94"/>
      <c r="G10" s="90" t="s">
        <v>44</v>
      </c>
      <c r="H10" s="91"/>
      <c r="I10" s="92" t="s">
        <v>45</v>
      </c>
      <c r="K10" s="97"/>
      <c r="L10" s="98" t="s">
        <v>46</v>
      </c>
      <c r="M10" s="99" t="s">
        <v>47</v>
      </c>
      <c r="N10" s="98" t="s">
        <v>48</v>
      </c>
      <c r="O10" s="100" t="s">
        <v>49</v>
      </c>
    </row>
    <row r="11" spans="1:15" ht="20" customHeight="1" thickBot="1" x14ac:dyDescent="0.2">
      <c r="E11" s="94"/>
      <c r="G11" s="101" t="s">
        <v>50</v>
      </c>
      <c r="H11" s="102"/>
      <c r="I11" s="103" t="s">
        <v>51</v>
      </c>
      <c r="K11" s="104"/>
      <c r="L11" s="27" t="s">
        <v>52</v>
      </c>
      <c r="M11" s="22" t="s">
        <v>67</v>
      </c>
      <c r="N11" s="27" t="s">
        <v>52</v>
      </c>
      <c r="O11" s="105" t="s">
        <v>67</v>
      </c>
    </row>
    <row r="12" spans="1:15" ht="20" customHeight="1" x14ac:dyDescent="0.15">
      <c r="D12" s="7"/>
      <c r="E12" s="94"/>
      <c r="G12" s="101" t="s">
        <v>53</v>
      </c>
      <c r="H12" s="102"/>
      <c r="I12" s="103" t="s">
        <v>54</v>
      </c>
      <c r="K12" s="72" t="s">
        <v>55</v>
      </c>
      <c r="L12" s="106">
        <f>IF(COUNTA($F$19:$F$31)&gt;0,M12*AVERAGE($F$19:$F$31),0)</f>
        <v>0</v>
      </c>
      <c r="M12" s="107"/>
      <c r="N12" s="108">
        <f>IF(COUNTA($F$19:$F$31)&gt;0,O12/AVERAGE($F$19:$F$31),0)</f>
        <v>0</v>
      </c>
      <c r="O12" s="109">
        <f>IF(ISBLANK(M12),0,H6/M12*60)</f>
        <v>0</v>
      </c>
    </row>
    <row r="13" spans="1:15" ht="20" customHeight="1" thickBot="1" x14ac:dyDescent="0.2">
      <c r="D13" s="110"/>
      <c r="E13" s="111"/>
      <c r="F13" s="75"/>
      <c r="G13" s="112" t="s">
        <v>133</v>
      </c>
      <c r="H13" s="113"/>
      <c r="I13" s="114" t="s">
        <v>134</v>
      </c>
      <c r="K13" s="87" t="s">
        <v>56</v>
      </c>
      <c r="L13" s="115">
        <f>IF(SUM(M19:M31)&gt;0,SUMIF(M19:M31,"&gt;0",M19:M31)/COUNTIF(M19:M31,"&gt;0"),0)</f>
        <v>2.8767337624429818</v>
      </c>
      <c r="M13" s="115">
        <f>IF(SUM(M19:M31)&gt;0,SUMIF(N19:N31,"&gt;0",N19:N31)/COUNTIF(N19:N31,"&gt;0"),0)</f>
        <v>3.4188695703403704</v>
      </c>
      <c r="N13" s="53">
        <f>IF(SUM(M19:M31)&gt;0,SUMIF(J19:J31,"&gt;0",J19:J31)/COUNTIF(J19:J31,"&gt;0")/60,0)</f>
        <v>46.316666666666613</v>
      </c>
      <c r="O13" s="116">
        <f>IF(SUM(M19:M31)&gt;0,SUMIF(K19:K31,"&gt;0",K19:K31)/COUNTIF(K19:K31,"&gt;0")/60,0)</f>
        <v>38.70050952380948</v>
      </c>
    </row>
    <row r="14" spans="1:15" ht="10" customHeight="1" x14ac:dyDescent="0.15"/>
    <row r="15" spans="1:15" ht="20" customHeight="1" x14ac:dyDescent="0.15">
      <c r="A15" s="8" t="s">
        <v>1</v>
      </c>
      <c r="B15" s="9" t="s">
        <v>2</v>
      </c>
      <c r="C15" s="11" t="s">
        <v>57</v>
      </c>
      <c r="D15" s="11" t="s">
        <v>58</v>
      </c>
      <c r="E15" s="11" t="s">
        <v>3</v>
      </c>
      <c r="F15" s="11" t="s">
        <v>59</v>
      </c>
      <c r="G15" s="11" t="s">
        <v>60</v>
      </c>
      <c r="H15" s="11" t="s">
        <v>61</v>
      </c>
      <c r="I15" s="11" t="s">
        <v>62</v>
      </c>
      <c r="J15" s="11" t="s">
        <v>63</v>
      </c>
      <c r="K15" s="11" t="s">
        <v>64</v>
      </c>
      <c r="L15" s="11" t="s">
        <v>65</v>
      </c>
      <c r="M15" s="11" t="s">
        <v>46</v>
      </c>
      <c r="N15" s="11" t="s">
        <v>46</v>
      </c>
      <c r="O15" s="14" t="s">
        <v>66</v>
      </c>
    </row>
    <row r="16" spans="1:15" ht="20" customHeight="1" x14ac:dyDescent="0.15">
      <c r="A16" s="117"/>
      <c r="B16" s="16"/>
      <c r="C16" s="18"/>
      <c r="D16" s="18"/>
      <c r="E16" s="17"/>
      <c r="F16" s="18" t="s">
        <v>67</v>
      </c>
      <c r="G16" s="18" t="s">
        <v>68</v>
      </c>
      <c r="H16" s="18"/>
      <c r="I16" s="18"/>
      <c r="J16" s="18" t="s">
        <v>48</v>
      </c>
      <c r="K16" s="18" t="s">
        <v>69</v>
      </c>
      <c r="L16" s="18" t="s">
        <v>70</v>
      </c>
      <c r="M16" s="18" t="s">
        <v>71</v>
      </c>
      <c r="N16" s="18" t="s">
        <v>71</v>
      </c>
      <c r="O16" s="20"/>
    </row>
    <row r="17" spans="1:15" ht="20" customHeight="1" x14ac:dyDescent="0.15">
      <c r="A17" s="117"/>
      <c r="B17" s="16"/>
      <c r="C17" s="18"/>
      <c r="D17" s="18"/>
      <c r="E17" s="17"/>
      <c r="F17" s="18"/>
      <c r="G17" s="118"/>
      <c r="H17" s="18"/>
      <c r="I17" s="18"/>
      <c r="J17" s="18"/>
      <c r="K17" s="18" t="s">
        <v>48</v>
      </c>
      <c r="L17" s="18"/>
      <c r="M17" s="18" t="s">
        <v>52</v>
      </c>
      <c r="N17" s="18" t="s">
        <v>67</v>
      </c>
      <c r="O17" s="20"/>
    </row>
    <row r="18" spans="1:15" ht="20" customHeight="1" thickBot="1" x14ac:dyDescent="0.2">
      <c r="A18" s="21"/>
      <c r="B18" s="22"/>
      <c r="C18" s="27"/>
      <c r="D18" s="27"/>
      <c r="E18" s="23"/>
      <c r="F18" s="27"/>
      <c r="G18" s="24" t="s">
        <v>72</v>
      </c>
      <c r="H18" s="24" t="s">
        <v>73</v>
      </c>
      <c r="I18" s="24" t="s">
        <v>73</v>
      </c>
      <c r="J18" s="24" t="s">
        <v>74</v>
      </c>
      <c r="K18" s="24" t="s">
        <v>74</v>
      </c>
      <c r="L18" s="24" t="s">
        <v>74</v>
      </c>
      <c r="M18" s="24" t="s">
        <v>47</v>
      </c>
      <c r="N18" s="24" t="s">
        <v>47</v>
      </c>
      <c r="O18" s="29"/>
    </row>
    <row r="19" spans="1:15" ht="20" customHeight="1" x14ac:dyDescent="0.15">
      <c r="A19" s="30">
        <v>1</v>
      </c>
      <c r="B19" s="36" t="str">
        <f>Sammanställning!B9</f>
        <v>Staffan Kerker</v>
      </c>
      <c r="C19" s="31" t="s">
        <v>160</v>
      </c>
      <c r="D19" s="32"/>
      <c r="E19" s="204">
        <f>Sammanställning!C9</f>
        <v>707</v>
      </c>
      <c r="F19" s="205">
        <v>0.86799999999999999</v>
      </c>
      <c r="G19" s="207">
        <v>7</v>
      </c>
      <c r="H19" s="122">
        <v>0.8</v>
      </c>
      <c r="I19" s="119">
        <v>0.83157407407407402</v>
      </c>
      <c r="J19" s="36">
        <f t="shared" ref="J19:J31" si="0">IF(I19&gt;0,(I19-H19)*24*3600,0)</f>
        <v>2727.9999999999918</v>
      </c>
      <c r="K19" s="36">
        <f t="shared" ref="K19:K31" si="1">J19*F19</f>
        <v>2367.9039999999927</v>
      </c>
      <c r="L19" s="34">
        <f t="array" ref="L19">K19-MIN(IF(K19:K31&gt;0,(K19:K31)))</f>
        <v>325.49999999999272</v>
      </c>
      <c r="M19" s="120">
        <f t="shared" ref="M19:M31" si="2">IF(J19&gt;0,$H$6/J19*3600,0)</f>
        <v>2.890029325513205</v>
      </c>
      <c r="N19" s="120">
        <f t="shared" ref="N19:N31" si="3">IF(K19&gt;0,M19/F19,0)</f>
        <v>3.3295268727110656</v>
      </c>
      <c r="O19" s="121">
        <f t="shared" ref="O19:O31" si="4">RANK(K19,$K$19:$K$31,1)-COUNTIF($K$19:$K$31,0)</f>
        <v>4</v>
      </c>
    </row>
    <row r="20" spans="1:15" ht="20" customHeight="1" x14ac:dyDescent="0.15">
      <c r="A20" s="38">
        <v>2</v>
      </c>
      <c r="B20" s="34" t="str">
        <f>Sammanställning!B10</f>
        <v>Jan-Erik Jonsson</v>
      </c>
      <c r="C20" s="39" t="s">
        <v>166</v>
      </c>
      <c r="D20" s="40"/>
      <c r="E20" s="129">
        <f>Sammanställning!C10</f>
        <v>707</v>
      </c>
      <c r="F20" s="206">
        <v>0.86799999999999999</v>
      </c>
      <c r="G20" s="208">
        <v>7</v>
      </c>
      <c r="H20" s="122">
        <v>0.8</v>
      </c>
      <c r="I20" s="122">
        <v>0.83171296296296293</v>
      </c>
      <c r="J20" s="34">
        <f t="shared" si="0"/>
        <v>2739.9999999999936</v>
      </c>
      <c r="K20" s="34">
        <f t="shared" si="1"/>
        <v>2378.3199999999943</v>
      </c>
      <c r="L20" s="34">
        <f t="array" ref="L20">K20-MIN(IF(K19:K31&gt;0,(K19:K31)))</f>
        <v>335.91599999999426</v>
      </c>
      <c r="M20" s="124">
        <f t="shared" si="2"/>
        <v>2.8773722627737293</v>
      </c>
      <c r="N20" s="124">
        <f t="shared" si="3"/>
        <v>3.3149450031955405</v>
      </c>
      <c r="O20" s="125">
        <f t="shared" si="4"/>
        <v>5</v>
      </c>
    </row>
    <row r="21" spans="1:15" ht="20" customHeight="1" x14ac:dyDescent="0.15">
      <c r="A21" s="38">
        <v>3</v>
      </c>
      <c r="B21" s="34" t="str">
        <f>Sammanställning!B11</f>
        <v>Tobjörn Herbertsson</v>
      </c>
      <c r="C21" s="39" t="s">
        <v>161</v>
      </c>
      <c r="D21" s="40"/>
      <c r="E21" s="129">
        <f>Sammanställning!C11</f>
        <v>707</v>
      </c>
      <c r="F21" s="206">
        <v>0.86799999999999999</v>
      </c>
      <c r="G21" s="208">
        <v>7</v>
      </c>
      <c r="H21" s="122">
        <v>0.8</v>
      </c>
      <c r="I21" s="122">
        <v>0.82723379629629634</v>
      </c>
      <c r="J21" s="34">
        <f t="shared" si="0"/>
        <v>2353</v>
      </c>
      <c r="K21" s="34">
        <f t="shared" si="1"/>
        <v>2042.404</v>
      </c>
      <c r="L21" s="34">
        <f t="array" ref="L21">K21-MIN(IF(K19:K31&gt;0,(K19:K31)))</f>
        <v>0</v>
      </c>
      <c r="M21" s="124">
        <f t="shared" si="2"/>
        <v>3.3506162345941348</v>
      </c>
      <c r="N21" s="124">
        <f t="shared" si="3"/>
        <v>3.8601569522973902</v>
      </c>
      <c r="O21" s="279">
        <f t="shared" si="4"/>
        <v>1</v>
      </c>
    </row>
    <row r="22" spans="1:15" ht="20" customHeight="1" x14ac:dyDescent="0.15">
      <c r="A22" s="38">
        <v>4</v>
      </c>
      <c r="B22" s="34" t="str">
        <f>Sammanställning!B12</f>
        <v>Urban Thim</v>
      </c>
      <c r="C22" s="39" t="s">
        <v>162</v>
      </c>
      <c r="D22" s="40"/>
      <c r="E22" s="129" t="str">
        <f>Sammanställning!C12</f>
        <v>707U</v>
      </c>
      <c r="F22" s="206">
        <v>0.86799999999999999</v>
      </c>
      <c r="G22" s="208">
        <v>7</v>
      </c>
      <c r="H22" s="122">
        <v>0.8</v>
      </c>
      <c r="I22" s="122">
        <v>0.82927083333333329</v>
      </c>
      <c r="J22" s="34">
        <f t="shared" si="0"/>
        <v>2528.9999999999923</v>
      </c>
      <c r="K22" s="34">
        <f t="shared" si="1"/>
        <v>2195.1719999999932</v>
      </c>
      <c r="L22" s="34">
        <f t="array" ref="L22">K22-MIN(IF(K19:K31&gt;0,(K19:K31)))</f>
        <v>152.76799999999321</v>
      </c>
      <c r="M22" s="124">
        <f t="shared" si="2"/>
        <v>3.1174377224199383</v>
      </c>
      <c r="N22" s="124">
        <f t="shared" si="3"/>
        <v>3.5915181133870258</v>
      </c>
      <c r="O22" s="125">
        <f t="shared" si="4"/>
        <v>3</v>
      </c>
    </row>
    <row r="23" spans="1:15" ht="20" customHeight="1" x14ac:dyDescent="0.15">
      <c r="A23" s="38">
        <v>5</v>
      </c>
      <c r="B23" s="34" t="str">
        <f>Sammanställning!B13</f>
        <v>Lars Berglund</v>
      </c>
      <c r="C23" s="39" t="s">
        <v>163</v>
      </c>
      <c r="D23" s="127"/>
      <c r="E23" s="129" t="str">
        <f>Sammanställning!C13</f>
        <v>Maxi Magic</v>
      </c>
      <c r="F23" s="206">
        <v>0.85199999999999998</v>
      </c>
      <c r="G23" s="46">
        <v>6</v>
      </c>
      <c r="H23" s="122">
        <v>0.7993055555555556</v>
      </c>
      <c r="I23" s="122">
        <v>0.83364583333333331</v>
      </c>
      <c r="J23" s="34">
        <f t="shared" si="0"/>
        <v>2966.9999999999936</v>
      </c>
      <c r="K23" s="34">
        <f t="shared" si="1"/>
        <v>2527.8839999999946</v>
      </c>
      <c r="L23" s="34">
        <f t="array" ref="L23">K23-MIN(IF(K19:K31&gt;0,(K19:K31)))</f>
        <v>485.47999999999456</v>
      </c>
      <c r="M23" s="124">
        <f t="shared" si="2"/>
        <v>2.6572295247725033</v>
      </c>
      <c r="N23" s="124">
        <f t="shared" si="3"/>
        <v>3.1188139962118586</v>
      </c>
      <c r="O23" s="125">
        <f t="shared" si="4"/>
        <v>6</v>
      </c>
    </row>
    <row r="24" spans="1:15" ht="20" customHeight="1" x14ac:dyDescent="0.15">
      <c r="A24" s="38">
        <v>6</v>
      </c>
      <c r="B24" s="34" t="str">
        <f>Sammanställning!B14</f>
        <v>Ingmar Olsson</v>
      </c>
      <c r="C24" s="39" t="s">
        <v>165</v>
      </c>
      <c r="D24" s="127"/>
      <c r="E24" s="129" t="str">
        <f>Sammanställning!C14</f>
        <v>Avanti</v>
      </c>
      <c r="F24" s="206">
        <v>0.745</v>
      </c>
      <c r="G24" s="46">
        <v>0</v>
      </c>
      <c r="H24" s="122">
        <v>0.79513888888888884</v>
      </c>
      <c r="I24" s="122">
        <v>0.83567129629629633</v>
      </c>
      <c r="J24" s="34">
        <f t="shared" si="0"/>
        <v>3502.0000000000073</v>
      </c>
      <c r="K24" s="34">
        <f t="shared" si="1"/>
        <v>2608.9900000000052</v>
      </c>
      <c r="L24" s="34">
        <f t="array" ref="L24">K24-MIN(IF(K19:K31&gt;0,(K19:K31)))</f>
        <v>566.58600000000524</v>
      </c>
      <c r="M24" s="124">
        <f t="shared" si="2"/>
        <v>2.251284980011417</v>
      </c>
      <c r="N24" s="124">
        <f t="shared" si="3"/>
        <v>3.0218590335723716</v>
      </c>
      <c r="O24" s="125">
        <f t="shared" si="4"/>
        <v>7</v>
      </c>
    </row>
    <row r="25" spans="1:15" ht="20" customHeight="1" x14ac:dyDescent="0.15">
      <c r="A25" s="38">
        <v>7</v>
      </c>
      <c r="B25" s="34" t="str">
        <f>Sammanställning!B15</f>
        <v>Erik Andersson</v>
      </c>
      <c r="C25" s="128" t="s">
        <v>164</v>
      </c>
      <c r="D25" s="40"/>
      <c r="E25" s="129" t="str">
        <f>Sammanställning!C15</f>
        <v>Elan 210</v>
      </c>
      <c r="F25" s="206">
        <v>0.81</v>
      </c>
      <c r="G25" s="46">
        <v>3</v>
      </c>
      <c r="H25" s="122">
        <v>0.79722222222222228</v>
      </c>
      <c r="I25" s="122">
        <v>0.82770833333333338</v>
      </c>
      <c r="J25" s="34">
        <f t="shared" si="0"/>
        <v>2633.9999999999991</v>
      </c>
      <c r="K25" s="34">
        <f t="shared" si="1"/>
        <v>2133.5399999999995</v>
      </c>
      <c r="L25" s="34">
        <f t="array" ref="L25">K25-MIN(IF(K19:K31&gt;0,(K19:K31)))</f>
        <v>91.135999999999513</v>
      </c>
      <c r="M25" s="124">
        <f t="shared" si="2"/>
        <v>2.9931662870159466</v>
      </c>
      <c r="N25" s="124">
        <f t="shared" si="3"/>
        <v>3.6952670210073411</v>
      </c>
      <c r="O25" s="125">
        <f t="shared" si="4"/>
        <v>2</v>
      </c>
    </row>
    <row r="26" spans="1:15" ht="20" customHeight="1" x14ac:dyDescent="0.15">
      <c r="A26" s="38">
        <v>8</v>
      </c>
      <c r="B26" s="34" t="str">
        <f>Sammanställning!B16</f>
        <v>Magnus Nilsson</v>
      </c>
      <c r="C26" s="39"/>
      <c r="D26" s="40"/>
      <c r="E26" s="129" t="str">
        <f>Sammanställning!C16</f>
        <v>Viggen</v>
      </c>
      <c r="F26" s="206"/>
      <c r="G26" s="46"/>
      <c r="H26" s="211" t="s">
        <v>178</v>
      </c>
      <c r="I26" s="122"/>
      <c r="J26" s="34">
        <f t="shared" si="0"/>
        <v>0</v>
      </c>
      <c r="K26" s="34">
        <f t="shared" si="1"/>
        <v>0</v>
      </c>
      <c r="L26" s="34">
        <f t="array" ref="L26">K26-MIN(IF(K19:K31&gt;0,(K19:K31)))</f>
        <v>-2042.404</v>
      </c>
      <c r="M26" s="124">
        <f t="shared" si="2"/>
        <v>0</v>
      </c>
      <c r="N26" s="124">
        <f t="shared" si="3"/>
        <v>0</v>
      </c>
      <c r="O26" s="286">
        <v>8</v>
      </c>
    </row>
    <row r="27" spans="1:15" ht="20" customHeight="1" x14ac:dyDescent="0.15">
      <c r="A27" s="38">
        <v>9</v>
      </c>
      <c r="B27" s="34">
        <f>Sammanställning!B17</f>
        <v>0</v>
      </c>
      <c r="C27" s="39"/>
      <c r="D27" s="40"/>
      <c r="E27" s="129">
        <f>Sammanställning!C17</f>
        <v>0</v>
      </c>
      <c r="F27" s="206"/>
      <c r="G27" s="46"/>
      <c r="H27" s="122"/>
      <c r="I27" s="122"/>
      <c r="J27" s="34">
        <f t="shared" si="0"/>
        <v>0</v>
      </c>
      <c r="K27" s="34">
        <f t="shared" si="1"/>
        <v>0</v>
      </c>
      <c r="L27" s="34">
        <f t="array" ref="L27">K27-MIN(IF(K19:K31&gt;0,(K19:K31)))</f>
        <v>-2042.404</v>
      </c>
      <c r="M27" s="124">
        <f t="shared" si="2"/>
        <v>0</v>
      </c>
      <c r="N27" s="124">
        <f t="shared" si="3"/>
        <v>0</v>
      </c>
      <c r="O27" s="125">
        <f t="shared" si="4"/>
        <v>-5</v>
      </c>
    </row>
    <row r="28" spans="1:15" ht="20" customHeight="1" x14ac:dyDescent="0.15">
      <c r="A28" s="38">
        <v>10</v>
      </c>
      <c r="B28" s="34">
        <f>Sammanställning!B18</f>
        <v>0</v>
      </c>
      <c r="C28" s="39"/>
      <c r="D28" s="40"/>
      <c r="E28" s="129">
        <f>Sammanställning!C18</f>
        <v>0</v>
      </c>
      <c r="F28" s="206"/>
      <c r="G28" s="46"/>
      <c r="H28" s="122"/>
      <c r="I28" s="122"/>
      <c r="J28" s="34">
        <f t="shared" si="0"/>
        <v>0</v>
      </c>
      <c r="K28" s="34">
        <f t="shared" si="1"/>
        <v>0</v>
      </c>
      <c r="L28" s="34">
        <f t="array" ref="L28">K28-MIN(IF(K19:K31&gt;0,(K19:K31)))</f>
        <v>-2042.404</v>
      </c>
      <c r="M28" s="124">
        <f t="shared" si="2"/>
        <v>0</v>
      </c>
      <c r="N28" s="124">
        <f t="shared" si="3"/>
        <v>0</v>
      </c>
      <c r="O28" s="125">
        <f t="shared" si="4"/>
        <v>-5</v>
      </c>
    </row>
    <row r="29" spans="1:15" ht="20" customHeight="1" x14ac:dyDescent="0.15">
      <c r="A29" s="38">
        <v>11</v>
      </c>
      <c r="B29" s="34">
        <f>Sammanställning!B19</f>
        <v>0</v>
      </c>
      <c r="C29" s="39"/>
      <c r="D29" s="40"/>
      <c r="E29" s="129">
        <f>Sammanställning!C19</f>
        <v>0</v>
      </c>
      <c r="F29" s="206"/>
      <c r="G29" s="46"/>
      <c r="H29" s="122"/>
      <c r="I29" s="122"/>
      <c r="J29" s="34">
        <f t="shared" si="0"/>
        <v>0</v>
      </c>
      <c r="K29" s="34">
        <f t="shared" si="1"/>
        <v>0</v>
      </c>
      <c r="L29" s="34">
        <f t="array" ref="L29">K29-MIN(IF(K19:K31&gt;0,(K19:K31)))</f>
        <v>-2042.404</v>
      </c>
      <c r="M29" s="124">
        <f t="shared" si="2"/>
        <v>0</v>
      </c>
      <c r="N29" s="124">
        <f t="shared" si="3"/>
        <v>0</v>
      </c>
      <c r="O29" s="125">
        <f t="shared" si="4"/>
        <v>-5</v>
      </c>
    </row>
    <row r="30" spans="1:15" ht="20" customHeight="1" x14ac:dyDescent="0.15">
      <c r="A30" s="38">
        <v>12</v>
      </c>
      <c r="B30" s="34">
        <f>Sammanställning!B20</f>
        <v>0</v>
      </c>
      <c r="C30" s="39"/>
      <c r="D30" s="40"/>
      <c r="E30" s="129">
        <f>Sammanställning!C20</f>
        <v>0</v>
      </c>
      <c r="F30" s="206"/>
      <c r="G30" s="46"/>
      <c r="H30" s="122"/>
      <c r="I30" s="122"/>
      <c r="J30" s="34">
        <f t="shared" si="0"/>
        <v>0</v>
      </c>
      <c r="K30" s="34">
        <f t="shared" si="1"/>
        <v>0</v>
      </c>
      <c r="L30" s="34">
        <f t="array" ref="L30">K30-MIN(IF(K19:K31&gt;0,(K19:K31)))</f>
        <v>-2042.404</v>
      </c>
      <c r="M30" s="124">
        <f t="shared" si="2"/>
        <v>0</v>
      </c>
      <c r="N30" s="124">
        <f t="shared" si="3"/>
        <v>0</v>
      </c>
      <c r="O30" s="125">
        <f t="shared" si="4"/>
        <v>-5</v>
      </c>
    </row>
    <row r="31" spans="1:15" ht="20" customHeight="1" thickBot="1" x14ac:dyDescent="0.2">
      <c r="A31" s="47">
        <v>13</v>
      </c>
      <c r="B31" s="53">
        <f>Sammanställning!B21</f>
        <v>0</v>
      </c>
      <c r="C31" s="48"/>
      <c r="D31" s="48"/>
      <c r="E31" s="130">
        <f>Sammanställning!C21</f>
        <v>0</v>
      </c>
      <c r="F31" s="50"/>
      <c r="G31" s="51"/>
      <c r="H31" s="131"/>
      <c r="I31" s="131"/>
      <c r="J31" s="53">
        <f t="shared" si="0"/>
        <v>0</v>
      </c>
      <c r="K31" s="53">
        <f t="shared" si="1"/>
        <v>0</v>
      </c>
      <c r="L31" s="53">
        <f t="array" ref="L31">K31-MIN(IF(K19:K31&gt;0,(K19:K31)))</f>
        <v>-2042.404</v>
      </c>
      <c r="M31" s="132">
        <f t="shared" si="2"/>
        <v>0</v>
      </c>
      <c r="N31" s="132">
        <f t="shared" si="3"/>
        <v>0</v>
      </c>
      <c r="O31" s="133">
        <f t="shared" si="4"/>
        <v>-5</v>
      </c>
    </row>
  </sheetData>
  <sheetProtection selectLockedCells="1" selectUnlockedCells="1"/>
  <mergeCells count="8">
    <mergeCell ref="C10:D10"/>
    <mergeCell ref="C5:D5"/>
    <mergeCell ref="C6:D6"/>
    <mergeCell ref="L6:O6"/>
    <mergeCell ref="C7:D7"/>
    <mergeCell ref="L7:N7"/>
    <mergeCell ref="C8:D8"/>
    <mergeCell ref="L8:O8"/>
  </mergeCells>
  <phoneticPr fontId="12" type="noConversion"/>
  <conditionalFormatting sqref="H19:H31">
    <cfRule type="containsText" dxfId="0" priority="1" stopIfTrue="1" operator="containsText" text="Ej deltagit">
      <formula>NOT(ISERROR(SEARCH("Ej deltagit",H19)))</formula>
    </cfRule>
  </conditionalFormatting>
  <printOptions horizontalCentered="1"/>
  <pageMargins left="0" right="0" top="0.19652777777777777" bottom="0.19652777777777777" header="0.51180555555555551" footer="0.51180555555555551"/>
  <pageSetup paperSize="9" firstPageNumber="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16321-8770-A143-AB1A-33BD5174545B}">
  <sheetPr codeName="Blad4"/>
  <dimension ref="A1:P31"/>
  <sheetViews>
    <sheetView topLeftCell="B1" zoomScale="87" zoomScaleNormal="87" workbookViewId="0">
      <selection activeCell="J26" sqref="J26"/>
    </sheetView>
  </sheetViews>
  <sheetFormatPr baseColWidth="10" defaultColWidth="9.25" defaultRowHeight="13" x14ac:dyDescent="0.15"/>
  <cols>
    <col min="1" max="1" width="6.75" style="1" customWidth="1"/>
    <col min="2" max="2" width="27.25" style="1" customWidth="1"/>
    <col min="3" max="3" width="26.25" style="1" customWidth="1"/>
    <col min="4" max="4" width="17.75" style="1" customWidth="1"/>
    <col min="5" max="5" width="15" style="2" customWidth="1"/>
    <col min="6" max="6" width="12.25" style="1" customWidth="1"/>
    <col min="7" max="7" width="9.25" style="1" customWidth="1"/>
    <col min="8" max="11" width="11.75" style="1" customWidth="1"/>
    <col min="12" max="15" width="8.75" style="1" customWidth="1"/>
    <col min="16" max="16" width="7.75" style="1" customWidth="1"/>
    <col min="17" max="17" width="6.75" style="1" customWidth="1"/>
    <col min="18" max="16384" width="9.25" style="1"/>
  </cols>
  <sheetData>
    <row r="1" spans="1:15" ht="10" customHeight="1" x14ac:dyDescent="0.15"/>
    <row r="2" spans="1:15" ht="18" customHeight="1" x14ac:dyDescent="0.25">
      <c r="A2" s="3"/>
      <c r="G2" s="4" t="str">
        <f>Sammanställning!G2</f>
        <v>HSS Torsdagscup 2026</v>
      </c>
      <c r="H2" s="5"/>
      <c r="I2" s="5"/>
    </row>
    <row r="3" spans="1:15" ht="20" customHeight="1" x14ac:dyDescent="0.2">
      <c r="G3" s="6" t="s">
        <v>75</v>
      </c>
      <c r="H3" s="5"/>
      <c r="I3" s="5"/>
      <c r="J3" s="5"/>
    </row>
    <row r="4" spans="1:15" ht="9" customHeight="1" thickBot="1" x14ac:dyDescent="0.25">
      <c r="A4" s="3"/>
    </row>
    <row r="5" spans="1:15" ht="20" customHeight="1" thickBot="1" x14ac:dyDescent="0.2">
      <c r="A5" s="62" t="s">
        <v>26</v>
      </c>
      <c r="B5" s="63"/>
      <c r="C5" s="325">
        <v>2</v>
      </c>
      <c r="D5" s="325"/>
      <c r="E5" s="64" t="s">
        <v>27</v>
      </c>
      <c r="F5" s="65"/>
      <c r="G5" s="66"/>
      <c r="H5" s="67" t="s">
        <v>172</v>
      </c>
      <c r="I5" s="68"/>
      <c r="K5" s="69" t="s">
        <v>28</v>
      </c>
      <c r="L5" s="70"/>
      <c r="M5" s="70"/>
      <c r="N5" s="70"/>
      <c r="O5" s="71"/>
    </row>
    <row r="6" spans="1:15" ht="20" customHeight="1" thickBot="1" x14ac:dyDescent="0.2">
      <c r="A6" s="72" t="s">
        <v>29</v>
      </c>
      <c r="B6" s="73"/>
      <c r="C6" s="326" t="s">
        <v>149</v>
      </c>
      <c r="D6" s="326"/>
      <c r="E6" s="74" t="s">
        <v>30</v>
      </c>
      <c r="F6" s="75"/>
      <c r="G6" s="76"/>
      <c r="H6" s="77">
        <v>3.86</v>
      </c>
      <c r="I6" s="78" t="s">
        <v>31</v>
      </c>
      <c r="K6" s="79" t="s">
        <v>32</v>
      </c>
      <c r="L6" s="327" t="s">
        <v>173</v>
      </c>
      <c r="M6" s="327"/>
      <c r="N6" s="327"/>
      <c r="O6" s="327"/>
    </row>
    <row r="7" spans="1:15" ht="20" customHeight="1" x14ac:dyDescent="0.15">
      <c r="A7" s="80" t="s">
        <v>33</v>
      </c>
      <c r="B7" s="81"/>
      <c r="C7" s="328">
        <v>46170</v>
      </c>
      <c r="D7" s="328"/>
      <c r="E7" s="82" t="s">
        <v>34</v>
      </c>
      <c r="F7" s="83"/>
      <c r="G7" s="66" t="s">
        <v>35</v>
      </c>
      <c r="H7" s="65"/>
      <c r="I7" s="84" t="s">
        <v>36</v>
      </c>
      <c r="K7" s="85" t="s">
        <v>37</v>
      </c>
      <c r="L7" s="332" t="s">
        <v>174</v>
      </c>
      <c r="M7" s="332"/>
      <c r="N7" s="332"/>
      <c r="O7" s="86" t="s">
        <v>38</v>
      </c>
    </row>
    <row r="8" spans="1:15" ht="20" customHeight="1" x14ac:dyDescent="0.15">
      <c r="A8" s="87" t="s">
        <v>39</v>
      </c>
      <c r="B8" s="88"/>
      <c r="C8" s="330">
        <v>0.76736111111111116</v>
      </c>
      <c r="D8" s="330"/>
      <c r="E8" s="89" t="s">
        <v>40</v>
      </c>
      <c r="G8" s="90"/>
      <c r="H8" s="91"/>
      <c r="I8" s="92"/>
      <c r="K8" s="93" t="s">
        <v>41</v>
      </c>
      <c r="L8" s="331" t="s">
        <v>175</v>
      </c>
      <c r="M8" s="331"/>
      <c r="N8" s="331"/>
      <c r="O8" s="331"/>
    </row>
    <row r="9" spans="1:15" ht="15" customHeight="1" x14ac:dyDescent="0.15">
      <c r="C9" s="5"/>
      <c r="D9" s="58"/>
      <c r="E9" s="94"/>
      <c r="G9" s="90"/>
      <c r="H9" s="91"/>
      <c r="I9" s="92"/>
      <c r="K9" s="62" t="s">
        <v>42</v>
      </c>
      <c r="L9" s="65"/>
      <c r="M9" s="95"/>
      <c r="N9" s="95"/>
      <c r="O9" s="96"/>
    </row>
    <row r="10" spans="1:15" ht="20" customHeight="1" x14ac:dyDescent="0.15">
      <c r="A10" s="69" t="s">
        <v>43</v>
      </c>
      <c r="B10" s="70"/>
      <c r="C10" s="324" t="s">
        <v>167</v>
      </c>
      <c r="D10" s="324"/>
      <c r="E10" s="94"/>
      <c r="G10" s="90" t="s">
        <v>44</v>
      </c>
      <c r="H10" s="91"/>
      <c r="I10" s="92" t="s">
        <v>45</v>
      </c>
      <c r="K10" s="97"/>
      <c r="L10" s="98" t="s">
        <v>46</v>
      </c>
      <c r="M10" s="99" t="s">
        <v>47</v>
      </c>
      <c r="N10" s="98" t="s">
        <v>48</v>
      </c>
      <c r="O10" s="100" t="s">
        <v>49</v>
      </c>
    </row>
    <row r="11" spans="1:15" ht="20" customHeight="1" x14ac:dyDescent="0.15">
      <c r="E11" s="94"/>
      <c r="G11" s="101" t="s">
        <v>50</v>
      </c>
      <c r="H11" s="102"/>
      <c r="I11" s="103" t="s">
        <v>51</v>
      </c>
      <c r="K11" s="104"/>
      <c r="L11" s="27" t="s">
        <v>52</v>
      </c>
      <c r="M11" s="22" t="s">
        <v>9</v>
      </c>
      <c r="N11" s="27" t="s">
        <v>52</v>
      </c>
      <c r="O11" s="105" t="s">
        <v>9</v>
      </c>
    </row>
    <row r="12" spans="1:15" ht="20" customHeight="1" x14ac:dyDescent="0.15">
      <c r="E12" s="94"/>
      <c r="G12" s="101" t="s">
        <v>53</v>
      </c>
      <c r="H12" s="102"/>
      <c r="I12" s="103" t="s">
        <v>54</v>
      </c>
      <c r="K12" s="72" t="s">
        <v>55</v>
      </c>
      <c r="L12" s="106">
        <f>IF(COUNTA($F$19:$F$31)&gt;0,M12*AVERAGE($F$19:$F$31),0)</f>
        <v>0</v>
      </c>
      <c r="M12" s="107"/>
      <c r="N12" s="108">
        <f>IF(COUNTA($F$19:$F$31)&gt;0,O12/AVERAGE($F$19:$F$31),0)</f>
        <v>0</v>
      </c>
      <c r="O12" s="109">
        <f>IF(ISBLANK(M12),0,H6/M12*60)</f>
        <v>0</v>
      </c>
    </row>
    <row r="13" spans="1:15" ht="20" customHeight="1" x14ac:dyDescent="0.15">
      <c r="D13" s="110"/>
      <c r="E13" s="111"/>
      <c r="F13" s="75"/>
      <c r="G13" s="112" t="s">
        <v>133</v>
      </c>
      <c r="H13" s="113"/>
      <c r="I13" s="114" t="s">
        <v>134</v>
      </c>
      <c r="K13" s="87" t="s">
        <v>56</v>
      </c>
      <c r="L13" s="115">
        <f>IF(SUM(M19:M31)&gt;0,SUMIF(M19:M31,"&gt;0",M19:M31)/COUNTIF(M19:M31,"&gt;0"),0)</f>
        <v>4.169935951014426</v>
      </c>
      <c r="M13" s="115">
        <f>IF(SUM(M19:M31)&gt;0,SUMIF(N19:N31,"&gt;0",N19:N31)/COUNTIF(N19:N31,"&gt;0"),0)</f>
        <v>4.908676191631451</v>
      </c>
      <c r="N13" s="53">
        <f>IF(SUM(M19:M31)&gt;0,SUMIF(J19:J31,"&gt;0",J19:J31)/COUNTIF(J19:J31,"&gt;0")/60,0)</f>
        <v>55.805555555555529</v>
      </c>
      <c r="O13" s="116">
        <f>IF(SUM(M19:M31)&gt;0,SUMIF(K19:K31,"&gt;0",K19:K31)/COUNTIF(K19:K31,"&gt;0")/60,0)</f>
        <v>47.262144444444409</v>
      </c>
    </row>
    <row r="14" spans="1:15" ht="10" customHeight="1" x14ac:dyDescent="0.15"/>
    <row r="15" spans="1:15" ht="20" customHeight="1" x14ac:dyDescent="0.15">
      <c r="A15" s="8" t="s">
        <v>1</v>
      </c>
      <c r="B15" s="9" t="s">
        <v>2</v>
      </c>
      <c r="C15" s="11" t="s">
        <v>57</v>
      </c>
      <c r="D15" s="11" t="s">
        <v>58</v>
      </c>
      <c r="E15" s="11" t="s">
        <v>3</v>
      </c>
      <c r="F15" s="11" t="s">
        <v>59</v>
      </c>
      <c r="G15" s="11" t="s">
        <v>60</v>
      </c>
      <c r="H15" s="11" t="s">
        <v>61</v>
      </c>
      <c r="I15" s="11" t="s">
        <v>62</v>
      </c>
      <c r="J15" s="11" t="s">
        <v>63</v>
      </c>
      <c r="K15" s="11" t="s">
        <v>64</v>
      </c>
      <c r="L15" s="11" t="s">
        <v>65</v>
      </c>
      <c r="M15" s="11" t="s">
        <v>46</v>
      </c>
      <c r="N15" s="11" t="s">
        <v>46</v>
      </c>
      <c r="O15" s="14" t="s">
        <v>66</v>
      </c>
    </row>
    <row r="16" spans="1:15" ht="20" customHeight="1" x14ac:dyDescent="0.15">
      <c r="A16" s="117"/>
      <c r="B16" s="16"/>
      <c r="C16" s="18"/>
      <c r="D16" s="18"/>
      <c r="E16" s="17"/>
      <c r="F16" s="18" t="s">
        <v>67</v>
      </c>
      <c r="G16" s="18" t="s">
        <v>68</v>
      </c>
      <c r="H16" s="18"/>
      <c r="I16" s="18"/>
      <c r="J16" s="18" t="s">
        <v>48</v>
      </c>
      <c r="K16" s="18" t="s">
        <v>69</v>
      </c>
      <c r="L16" s="18" t="s">
        <v>70</v>
      </c>
      <c r="M16" s="18" t="s">
        <v>71</v>
      </c>
      <c r="N16" s="18" t="s">
        <v>71</v>
      </c>
      <c r="O16" s="20"/>
    </row>
    <row r="17" spans="1:16" ht="20" customHeight="1" x14ac:dyDescent="0.15">
      <c r="A17" s="117"/>
      <c r="B17" s="16"/>
      <c r="C17" s="18"/>
      <c r="D17" s="18"/>
      <c r="E17" s="17"/>
      <c r="F17" s="18"/>
      <c r="G17" s="118"/>
      <c r="H17" s="18"/>
      <c r="I17" s="18"/>
      <c r="J17" s="18"/>
      <c r="K17" s="18" t="s">
        <v>48</v>
      </c>
      <c r="L17" s="18"/>
      <c r="M17" s="18" t="s">
        <v>52</v>
      </c>
      <c r="N17" s="18" t="s">
        <v>9</v>
      </c>
      <c r="O17" s="20"/>
    </row>
    <row r="18" spans="1:16" ht="20" customHeight="1" thickBot="1" x14ac:dyDescent="0.2">
      <c r="A18" s="117"/>
      <c r="B18" s="16"/>
      <c r="C18" s="18"/>
      <c r="D18" s="18"/>
      <c r="E18" s="17"/>
      <c r="F18" s="18"/>
      <c r="G18" s="118" t="s">
        <v>72</v>
      </c>
      <c r="H18" s="118" t="s">
        <v>73</v>
      </c>
      <c r="I18" s="118" t="s">
        <v>73</v>
      </c>
      <c r="J18" s="118" t="s">
        <v>74</v>
      </c>
      <c r="K18" s="118" t="s">
        <v>74</v>
      </c>
      <c r="L18" s="118" t="s">
        <v>74</v>
      </c>
      <c r="M18" s="118" t="s">
        <v>47</v>
      </c>
      <c r="N18" s="118" t="s">
        <v>47</v>
      </c>
      <c r="O18" s="20"/>
    </row>
    <row r="19" spans="1:16" ht="20" customHeight="1" thickBot="1" x14ac:dyDescent="0.2">
      <c r="A19" s="247">
        <v>1</v>
      </c>
      <c r="B19" s="253" t="str">
        <f>Sammanställning!B9</f>
        <v>Staffan Kerker</v>
      </c>
      <c r="C19" s="248" t="s">
        <v>176</v>
      </c>
      <c r="D19" s="249"/>
      <c r="E19" s="275">
        <f>Sammanställning!C9</f>
        <v>707</v>
      </c>
      <c r="F19" s="276">
        <v>0.89100000000000001</v>
      </c>
      <c r="G19" s="251"/>
      <c r="H19" s="252">
        <v>0.76736111111111116</v>
      </c>
      <c r="I19" s="252"/>
      <c r="J19" s="253">
        <f t="shared" ref="J19:J31" si="0">IF(I19&gt;0,(I19-H19)*24*3600,0)</f>
        <v>0</v>
      </c>
      <c r="K19" s="253">
        <f>J19*F19</f>
        <v>0</v>
      </c>
      <c r="L19" s="253">
        <f t="array" ref="L19">K19-MIN(IF(K19:K31&gt;0,(K19:K31)))</f>
        <v>-2680.384</v>
      </c>
      <c r="M19" s="255">
        <f t="shared" ref="M19:M31" si="1">IF(J19&gt;0,$H$6/J19*3600,0)</f>
        <v>0</v>
      </c>
      <c r="N19" s="255">
        <f t="shared" ref="N19:N31" si="2">IF(K19&gt;0,M19/F19,0)</f>
        <v>0</v>
      </c>
      <c r="O19" s="256">
        <v>4</v>
      </c>
      <c r="P19" s="282" t="s">
        <v>177</v>
      </c>
    </row>
    <row r="20" spans="1:16" ht="20" customHeight="1" thickBot="1" x14ac:dyDescent="0.2">
      <c r="A20" s="257">
        <v>2</v>
      </c>
      <c r="B20" s="34" t="str">
        <f>Sammanställning!B10</f>
        <v>Jan-Erik Jonsson</v>
      </c>
      <c r="C20" s="39" t="s">
        <v>166</v>
      </c>
      <c r="D20" s="40"/>
      <c r="E20" s="129">
        <f>Sammanställning!C10</f>
        <v>707</v>
      </c>
      <c r="F20" s="206">
        <v>0.86799999999999999</v>
      </c>
      <c r="G20" s="46"/>
      <c r="H20" s="252">
        <v>0.76736111111111116</v>
      </c>
      <c r="I20" s="122">
        <v>0.80560185185185185</v>
      </c>
      <c r="J20" s="34">
        <f t="shared" si="0"/>
        <v>3303.9999999999955</v>
      </c>
      <c r="K20" s="34">
        <f>J20*F20</f>
        <v>2867.8719999999962</v>
      </c>
      <c r="L20" s="34">
        <f t="array" ref="L20">K20-MIN(IF(K19:K31&gt;0,(K19:K31)))</f>
        <v>187.48799999999619</v>
      </c>
      <c r="M20" s="124">
        <f t="shared" si="1"/>
        <v>4.2058111380145338</v>
      </c>
      <c r="N20" s="124">
        <f t="shared" si="2"/>
        <v>4.8454045368831036</v>
      </c>
      <c r="O20" s="258">
        <f t="shared" ref="O20:O31" si="3">RANK(K20,$K$19:$K$31,1)-COUNTIF($K$19:$K$31,0)</f>
        <v>2</v>
      </c>
    </row>
    <row r="21" spans="1:16" ht="20" customHeight="1" x14ac:dyDescent="0.15">
      <c r="A21" s="257">
        <v>3</v>
      </c>
      <c r="B21" s="34" t="str">
        <f>Sammanställning!B11</f>
        <v>Tobjörn Herbertsson</v>
      </c>
      <c r="C21" s="39" t="s">
        <v>161</v>
      </c>
      <c r="D21" s="40"/>
      <c r="E21" s="129">
        <f>Sammanställning!C11</f>
        <v>707</v>
      </c>
      <c r="F21" s="206">
        <v>0.86799999999999999</v>
      </c>
      <c r="G21" s="46"/>
      <c r="H21" s="252">
        <v>0.76736111111111116</v>
      </c>
      <c r="I21" s="122">
        <v>0.8031018518518519</v>
      </c>
      <c r="J21" s="34">
        <f t="shared" si="0"/>
        <v>3088</v>
      </c>
      <c r="K21" s="34">
        <f t="shared" ref="K21:K31" si="4">J21*F21</f>
        <v>2680.384</v>
      </c>
      <c r="L21" s="34">
        <f t="array" ref="L21">K21-MIN(IF(K19:K31&gt;0,(K19:K31)))</f>
        <v>0</v>
      </c>
      <c r="M21" s="124">
        <f t="shared" si="1"/>
        <v>4.5</v>
      </c>
      <c r="N21" s="124">
        <f t="shared" si="2"/>
        <v>5.1843317972350231</v>
      </c>
      <c r="O21" s="280">
        <f t="shared" si="3"/>
        <v>1</v>
      </c>
    </row>
    <row r="22" spans="1:16" ht="20" customHeight="1" thickBot="1" x14ac:dyDescent="0.2">
      <c r="A22" s="257">
        <v>4</v>
      </c>
      <c r="B22" s="34" t="str">
        <f>Sammanställning!B12</f>
        <v>Urban Thim</v>
      </c>
      <c r="C22" s="39"/>
      <c r="D22" s="40"/>
      <c r="E22" s="129" t="str">
        <f>Sammanställning!C12</f>
        <v>707U</v>
      </c>
      <c r="F22" s="206"/>
      <c r="G22" s="46"/>
      <c r="H22" s="287" t="s">
        <v>178</v>
      </c>
      <c r="I22" s="122"/>
      <c r="J22" s="34">
        <f t="shared" si="0"/>
        <v>0</v>
      </c>
      <c r="K22" s="34">
        <f t="shared" si="4"/>
        <v>0</v>
      </c>
      <c r="L22" s="34">
        <f t="array" ref="L22">K22-MIN(IF(K19:K31&gt;0,(K19:K31)))</f>
        <v>-2680.384</v>
      </c>
      <c r="M22" s="124">
        <f t="shared" si="1"/>
        <v>0</v>
      </c>
      <c r="N22" s="124">
        <f t="shared" si="2"/>
        <v>0</v>
      </c>
      <c r="O22" s="281">
        <v>5</v>
      </c>
    </row>
    <row r="23" spans="1:16" ht="20" customHeight="1" x14ac:dyDescent="0.15">
      <c r="A23" s="257">
        <v>5</v>
      </c>
      <c r="B23" s="34" t="str">
        <f>Sammanställning!B13</f>
        <v>Lars Berglund</v>
      </c>
      <c r="C23" s="39" t="s">
        <v>163</v>
      </c>
      <c r="D23" s="127"/>
      <c r="E23" s="129" t="str">
        <f>Sammanställning!C13</f>
        <v>Maxi Magic</v>
      </c>
      <c r="F23" s="206">
        <v>0.85199999999999998</v>
      </c>
      <c r="G23" s="46"/>
      <c r="H23" s="252">
        <v>0.76736111111111116</v>
      </c>
      <c r="I23" s="122"/>
      <c r="J23" s="34">
        <f t="shared" si="0"/>
        <v>0</v>
      </c>
      <c r="K23" s="34">
        <f t="shared" si="4"/>
        <v>0</v>
      </c>
      <c r="L23" s="34">
        <f t="array" ref="L23">K23-MIN(IF(K19:K31&gt;0,(K19:K31)))</f>
        <v>-2680.384</v>
      </c>
      <c r="M23" s="124">
        <f t="shared" si="1"/>
        <v>0</v>
      </c>
      <c r="N23" s="124">
        <f t="shared" si="2"/>
        <v>0</v>
      </c>
      <c r="O23" s="258">
        <v>4</v>
      </c>
      <c r="P23" s="282" t="s">
        <v>177</v>
      </c>
    </row>
    <row r="24" spans="1:16" ht="20" customHeight="1" thickBot="1" x14ac:dyDescent="0.2">
      <c r="A24" s="257">
        <v>6</v>
      </c>
      <c r="B24" s="34" t="str">
        <f>Sammanställning!B14</f>
        <v>Ingmar Olsson</v>
      </c>
      <c r="C24" s="128"/>
      <c r="D24" s="127"/>
      <c r="E24" s="129" t="str">
        <f>Sammanställning!C14</f>
        <v>Avanti</v>
      </c>
      <c r="F24" s="206"/>
      <c r="G24" s="46"/>
      <c r="H24" s="211" t="s">
        <v>178</v>
      </c>
      <c r="I24" s="122"/>
      <c r="J24" s="34">
        <f t="shared" si="0"/>
        <v>0</v>
      </c>
      <c r="K24" s="34">
        <f t="shared" si="4"/>
        <v>0</v>
      </c>
      <c r="L24" s="34">
        <f t="array" ref="L24">K24-MIN(IF(K19:K31&gt;0,(K19:K31)))</f>
        <v>-2680.384</v>
      </c>
      <c r="M24" s="124">
        <f t="shared" si="1"/>
        <v>0</v>
      </c>
      <c r="N24" s="124">
        <f t="shared" si="2"/>
        <v>0</v>
      </c>
      <c r="O24" s="281">
        <v>5</v>
      </c>
    </row>
    <row r="25" spans="1:16" ht="20" customHeight="1" x14ac:dyDescent="0.15">
      <c r="A25" s="257">
        <v>7</v>
      </c>
      <c r="B25" s="34" t="str">
        <f>Sammanställning!B15</f>
        <v>Erik Andersson</v>
      </c>
      <c r="C25" s="128"/>
      <c r="D25" s="40"/>
      <c r="E25" s="129" t="str">
        <f>Sammanställning!C15</f>
        <v>Elan 210</v>
      </c>
      <c r="F25" s="206">
        <v>0.81</v>
      </c>
      <c r="G25" s="46"/>
      <c r="H25" s="252">
        <v>0.76736111111111116</v>
      </c>
      <c r="I25" s="122">
        <v>0.80964120370370374</v>
      </c>
      <c r="J25" s="34">
        <f t="shared" si="0"/>
        <v>3652.9999999999986</v>
      </c>
      <c r="K25" s="34">
        <f t="shared" si="4"/>
        <v>2958.9299999999989</v>
      </c>
      <c r="L25" s="34">
        <f t="array" ref="L25">K25-MIN(IF(K19:K31&gt;0,(K19:K31)))</f>
        <v>278.54599999999891</v>
      </c>
      <c r="M25" s="124">
        <f t="shared" si="1"/>
        <v>3.8039967150287448</v>
      </c>
      <c r="N25" s="124">
        <f t="shared" si="2"/>
        <v>4.696292240776228</v>
      </c>
      <c r="O25" s="258">
        <f t="shared" si="3"/>
        <v>3</v>
      </c>
    </row>
    <row r="26" spans="1:16" ht="20" customHeight="1" x14ac:dyDescent="0.15">
      <c r="A26" s="257">
        <v>8</v>
      </c>
      <c r="B26" s="34" t="str">
        <f>Sammanställning!B16</f>
        <v>Magnus Nilsson</v>
      </c>
      <c r="C26" s="39"/>
      <c r="D26" s="40"/>
      <c r="E26" s="129" t="str">
        <f>Sammanställning!C16</f>
        <v>Viggen</v>
      </c>
      <c r="F26" s="206"/>
      <c r="G26" s="46"/>
      <c r="H26" s="211" t="s">
        <v>178</v>
      </c>
      <c r="I26" s="122"/>
      <c r="J26" s="34">
        <f t="shared" si="0"/>
        <v>0</v>
      </c>
      <c r="K26" s="34">
        <f t="shared" si="4"/>
        <v>0</v>
      </c>
      <c r="L26" s="34">
        <f t="array" ref="L26">K26-MIN(IF(K19:K31&gt;0,(K19:K31)))</f>
        <v>-2680.384</v>
      </c>
      <c r="M26" s="124">
        <f t="shared" si="1"/>
        <v>0</v>
      </c>
      <c r="N26" s="124">
        <f t="shared" si="2"/>
        <v>0</v>
      </c>
      <c r="O26" s="281">
        <v>5</v>
      </c>
    </row>
    <row r="27" spans="1:16" ht="20" customHeight="1" x14ac:dyDescent="0.15">
      <c r="A27" s="257">
        <v>9</v>
      </c>
      <c r="B27" s="34">
        <f>Sammanställning!B17</f>
        <v>0</v>
      </c>
      <c r="C27" s="128"/>
      <c r="D27" s="40"/>
      <c r="E27" s="129">
        <f>Sammanställning!C17</f>
        <v>0</v>
      </c>
      <c r="F27" s="206"/>
      <c r="G27" s="46"/>
      <c r="H27" s="211"/>
      <c r="I27" s="122"/>
      <c r="J27" s="34">
        <f t="shared" si="0"/>
        <v>0</v>
      </c>
      <c r="K27" s="34">
        <f t="shared" si="4"/>
        <v>0</v>
      </c>
      <c r="L27" s="34">
        <f t="array" ref="L27">K27-MIN(IF(K19:K31&gt;0,(K19:K31)))</f>
        <v>-2680.384</v>
      </c>
      <c r="M27" s="124">
        <f t="shared" si="1"/>
        <v>0</v>
      </c>
      <c r="N27" s="124">
        <f t="shared" si="2"/>
        <v>0</v>
      </c>
      <c r="O27" s="258">
        <f t="shared" si="3"/>
        <v>-9</v>
      </c>
    </row>
    <row r="28" spans="1:16" ht="20" customHeight="1" x14ac:dyDescent="0.15">
      <c r="A28" s="257">
        <v>10</v>
      </c>
      <c r="B28" s="34">
        <f>Sammanställning!B18</f>
        <v>0</v>
      </c>
      <c r="C28" s="128"/>
      <c r="D28" s="40"/>
      <c r="E28" s="129">
        <f>Sammanställning!C18</f>
        <v>0</v>
      </c>
      <c r="F28" s="206"/>
      <c r="G28" s="46"/>
      <c r="H28" s="211"/>
      <c r="I28" s="122"/>
      <c r="J28" s="34">
        <f t="shared" si="0"/>
        <v>0</v>
      </c>
      <c r="K28" s="34">
        <f t="shared" si="4"/>
        <v>0</v>
      </c>
      <c r="L28" s="34">
        <f t="array" ref="L28">K28-MIN(IF(K19:K31&gt;0,(K19:K31)))</f>
        <v>-2680.384</v>
      </c>
      <c r="M28" s="124">
        <f t="shared" si="1"/>
        <v>0</v>
      </c>
      <c r="N28" s="124">
        <f t="shared" si="2"/>
        <v>0</v>
      </c>
      <c r="O28" s="258">
        <f t="shared" si="3"/>
        <v>-9</v>
      </c>
    </row>
    <row r="29" spans="1:16" ht="20" customHeight="1" x14ac:dyDescent="0.15">
      <c r="A29" s="257">
        <v>11</v>
      </c>
      <c r="B29" s="34">
        <f>Sammanställning!B19</f>
        <v>0</v>
      </c>
      <c r="C29" s="39"/>
      <c r="D29" s="40"/>
      <c r="E29" s="129">
        <f>Sammanställning!C19</f>
        <v>0</v>
      </c>
      <c r="F29" s="206"/>
      <c r="G29" s="46"/>
      <c r="H29" s="211"/>
      <c r="I29" s="122"/>
      <c r="J29" s="34">
        <f t="shared" si="0"/>
        <v>0</v>
      </c>
      <c r="K29" s="34">
        <f t="shared" si="4"/>
        <v>0</v>
      </c>
      <c r="L29" s="34">
        <f t="array" ref="L29">K29-MIN(IF(K19:K31&gt;0,(K19:K31)))</f>
        <v>-2680.384</v>
      </c>
      <c r="M29" s="124">
        <f t="shared" si="1"/>
        <v>0</v>
      </c>
      <c r="N29" s="124">
        <f t="shared" si="2"/>
        <v>0</v>
      </c>
      <c r="O29" s="258">
        <f t="shared" si="3"/>
        <v>-9</v>
      </c>
    </row>
    <row r="30" spans="1:16" ht="20" customHeight="1" thickBot="1" x14ac:dyDescent="0.2">
      <c r="A30" s="259">
        <v>12</v>
      </c>
      <c r="B30" s="216">
        <f>Sammanställning!B20</f>
        <v>0</v>
      </c>
      <c r="C30" s="260"/>
      <c r="D30" s="261"/>
      <c r="E30" s="262">
        <f>Sammanställning!C20</f>
        <v>0</v>
      </c>
      <c r="F30" s="277"/>
      <c r="G30" s="264"/>
      <c r="H30" s="278"/>
      <c r="I30" s="266"/>
      <c r="J30" s="216">
        <f t="shared" si="0"/>
        <v>0</v>
      </c>
      <c r="K30" s="216">
        <f t="shared" si="4"/>
        <v>0</v>
      </c>
      <c r="L30" s="216">
        <f t="array" ref="L30">K30-MIN(IF(K19:K31&gt;0,(K19:K31)))</f>
        <v>-2680.384</v>
      </c>
      <c r="M30" s="268">
        <f t="shared" si="1"/>
        <v>0</v>
      </c>
      <c r="N30" s="268">
        <f t="shared" si="2"/>
        <v>0</v>
      </c>
      <c r="O30" s="269">
        <f t="shared" si="3"/>
        <v>-9</v>
      </c>
    </row>
    <row r="31" spans="1:16" ht="20" customHeight="1" thickBot="1" x14ac:dyDescent="0.2">
      <c r="A31" s="21">
        <v>13</v>
      </c>
      <c r="B31" s="239">
        <f>Sammanställning!B21</f>
        <v>0</v>
      </c>
      <c r="C31" s="240"/>
      <c r="D31" s="240"/>
      <c r="E31" s="241">
        <f>Sammanställning!C21</f>
        <v>0</v>
      </c>
      <c r="F31" s="272"/>
      <c r="G31" s="24"/>
      <c r="H31" s="273"/>
      <c r="I31" s="243"/>
      <c r="J31" s="239">
        <f t="shared" si="0"/>
        <v>0</v>
      </c>
      <c r="K31" s="239">
        <f t="shared" si="4"/>
        <v>0</v>
      </c>
      <c r="L31" s="239">
        <f t="array" ref="L31">K31-MIN(IF(K19:K31&gt;0,(K19:K31)))</f>
        <v>-2680.384</v>
      </c>
      <c r="M31" s="245">
        <f t="shared" si="1"/>
        <v>0</v>
      </c>
      <c r="N31" s="245">
        <f t="shared" si="2"/>
        <v>0</v>
      </c>
      <c r="O31" s="274">
        <f t="shared" si="3"/>
        <v>-9</v>
      </c>
    </row>
  </sheetData>
  <sheetProtection selectLockedCells="1" selectUnlockedCells="1"/>
  <mergeCells count="8">
    <mergeCell ref="C10:D10"/>
    <mergeCell ref="C5:D5"/>
    <mergeCell ref="C6:D6"/>
    <mergeCell ref="L6:O6"/>
    <mergeCell ref="C7:D7"/>
    <mergeCell ref="L7:N7"/>
    <mergeCell ref="C8:D8"/>
    <mergeCell ref="L8:O8"/>
  </mergeCells>
  <phoneticPr fontId="12" type="noConversion"/>
  <printOptions horizontalCentered="1"/>
  <pageMargins left="0" right="0" top="0.19652777777777777" bottom="0.19652777777777777" header="0.51180555555555551" footer="0.51180555555555551"/>
  <pageSetup paperSize="9" firstPageNumber="0" orientation="landscape" horizontalDpi="4294967293" verticalDpi="4294967293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7B3CB-FD27-2D4B-A779-6714E0807DB4}">
  <sheetPr codeName="Blad5"/>
  <dimension ref="A1:O31"/>
  <sheetViews>
    <sheetView zoomScale="87" zoomScaleNormal="87" workbookViewId="0">
      <selection activeCell="O21" sqref="O21"/>
    </sheetView>
  </sheetViews>
  <sheetFormatPr baseColWidth="10" defaultColWidth="9.25" defaultRowHeight="13" x14ac:dyDescent="0.15"/>
  <cols>
    <col min="1" max="1" width="6.75" style="1" customWidth="1"/>
    <col min="2" max="2" width="26.75" style="1" customWidth="1"/>
    <col min="3" max="3" width="29.25" style="1" customWidth="1"/>
    <col min="4" max="4" width="15.75" style="1" customWidth="1"/>
    <col min="5" max="5" width="16" style="2" customWidth="1"/>
    <col min="6" max="6" width="11.5" style="1" customWidth="1"/>
    <col min="7" max="7" width="7.5" style="1" customWidth="1"/>
    <col min="8" max="8" width="13" style="1" customWidth="1"/>
    <col min="9" max="9" width="12.25" style="1" customWidth="1"/>
    <col min="10" max="10" width="12.5" style="1" customWidth="1"/>
    <col min="11" max="11" width="13" style="1" customWidth="1"/>
    <col min="12" max="14" width="8.75" style="1" customWidth="1"/>
    <col min="15" max="15" width="10.25" style="1" customWidth="1"/>
    <col min="16" max="16" width="7.75" style="1" customWidth="1"/>
    <col min="17" max="17" width="6.75" style="1" customWidth="1"/>
    <col min="18" max="16384" width="9.25" style="1"/>
  </cols>
  <sheetData>
    <row r="1" spans="1:15" ht="9" customHeight="1" x14ac:dyDescent="0.15"/>
    <row r="2" spans="1:15" ht="25" customHeight="1" x14ac:dyDescent="0.25">
      <c r="A2" s="3"/>
      <c r="G2" s="4" t="str">
        <f>Sammanställning!G2</f>
        <v>HSS Torsdagscup 2026</v>
      </c>
      <c r="H2" s="5"/>
      <c r="I2" s="5"/>
    </row>
    <row r="3" spans="1:15" ht="20" customHeight="1" x14ac:dyDescent="0.2">
      <c r="G3" s="6" t="s">
        <v>76</v>
      </c>
      <c r="H3" s="5"/>
      <c r="I3" s="5"/>
      <c r="J3" s="5"/>
    </row>
    <row r="4" spans="1:15" ht="7" customHeight="1" x14ac:dyDescent="0.2">
      <c r="A4" s="3"/>
    </row>
    <row r="5" spans="1:15" ht="20" customHeight="1" x14ac:dyDescent="0.15">
      <c r="A5" s="62" t="s">
        <v>26</v>
      </c>
      <c r="B5" s="63"/>
      <c r="C5" s="325">
        <v>3</v>
      </c>
      <c r="D5" s="325"/>
      <c r="E5" s="64" t="s">
        <v>27</v>
      </c>
      <c r="F5" s="65"/>
      <c r="G5" s="66"/>
      <c r="H5" s="67" t="s">
        <v>182</v>
      </c>
      <c r="I5" s="68"/>
      <c r="K5" s="69" t="s">
        <v>28</v>
      </c>
      <c r="L5" s="70"/>
      <c r="M5" s="70"/>
      <c r="N5" s="70"/>
      <c r="O5" s="71"/>
    </row>
    <row r="6" spans="1:15" ht="20" customHeight="1" x14ac:dyDescent="0.15">
      <c r="A6" s="72" t="s">
        <v>29</v>
      </c>
      <c r="B6" s="73"/>
      <c r="C6" s="326" t="s">
        <v>137</v>
      </c>
      <c r="D6" s="326"/>
      <c r="E6" s="74" t="s">
        <v>30</v>
      </c>
      <c r="F6" s="75"/>
      <c r="G6" s="76"/>
      <c r="H6" s="77">
        <v>4.66</v>
      </c>
      <c r="I6" s="78" t="s">
        <v>31</v>
      </c>
      <c r="K6" s="79" t="s">
        <v>32</v>
      </c>
      <c r="L6" s="327" t="s">
        <v>183</v>
      </c>
      <c r="M6" s="327"/>
      <c r="N6" s="327"/>
      <c r="O6" s="327"/>
    </row>
    <row r="7" spans="1:15" ht="20" customHeight="1" x14ac:dyDescent="0.15">
      <c r="A7" s="80" t="s">
        <v>33</v>
      </c>
      <c r="B7" s="81"/>
      <c r="C7" s="328">
        <v>46177</v>
      </c>
      <c r="D7" s="328"/>
      <c r="E7" s="82" t="s">
        <v>34</v>
      </c>
      <c r="F7" s="83"/>
      <c r="G7" s="66" t="s">
        <v>35</v>
      </c>
      <c r="H7" s="65"/>
      <c r="I7" s="84" t="s">
        <v>36</v>
      </c>
      <c r="K7" s="85" t="s">
        <v>37</v>
      </c>
      <c r="L7" s="332" t="s">
        <v>184</v>
      </c>
      <c r="M7" s="332"/>
      <c r="N7" s="332"/>
      <c r="O7" s="86" t="s">
        <v>38</v>
      </c>
    </row>
    <row r="8" spans="1:15" ht="20" customHeight="1" x14ac:dyDescent="0.15">
      <c r="A8" s="87" t="s">
        <v>39</v>
      </c>
      <c r="B8" s="88"/>
      <c r="C8" s="330">
        <v>0.76388888888888884</v>
      </c>
      <c r="D8" s="330"/>
      <c r="E8" s="89" t="s">
        <v>40</v>
      </c>
      <c r="G8" s="90"/>
      <c r="H8" s="91"/>
      <c r="I8" s="92"/>
      <c r="K8" s="93" t="s">
        <v>41</v>
      </c>
      <c r="L8" s="331"/>
      <c r="M8" s="331"/>
      <c r="N8" s="331"/>
      <c r="O8" s="331"/>
    </row>
    <row r="9" spans="1:15" ht="17" customHeight="1" x14ac:dyDescent="0.15">
      <c r="C9" s="5"/>
      <c r="D9" s="58"/>
      <c r="E9" s="94"/>
      <c r="G9" s="90"/>
      <c r="H9" s="91"/>
      <c r="I9" s="92"/>
      <c r="K9" s="62" t="s">
        <v>42</v>
      </c>
      <c r="L9" s="65"/>
      <c r="M9" s="95"/>
      <c r="N9" s="95"/>
      <c r="O9" s="96"/>
    </row>
    <row r="10" spans="1:15" ht="20" customHeight="1" x14ac:dyDescent="0.15">
      <c r="A10" s="69" t="s">
        <v>43</v>
      </c>
      <c r="B10" s="70"/>
      <c r="C10" s="324"/>
      <c r="D10" s="324"/>
      <c r="E10" s="94"/>
      <c r="G10" s="90" t="s">
        <v>44</v>
      </c>
      <c r="H10" s="91"/>
      <c r="I10" s="92" t="s">
        <v>45</v>
      </c>
      <c r="K10" s="97"/>
      <c r="L10" s="98" t="s">
        <v>46</v>
      </c>
      <c r="M10" s="99" t="s">
        <v>47</v>
      </c>
      <c r="N10" s="98" t="s">
        <v>48</v>
      </c>
      <c r="O10" s="100" t="s">
        <v>49</v>
      </c>
    </row>
    <row r="11" spans="1:15" ht="20" customHeight="1" x14ac:dyDescent="0.15">
      <c r="E11" s="94"/>
      <c r="G11" s="101" t="s">
        <v>50</v>
      </c>
      <c r="H11" s="102"/>
      <c r="I11" s="103" t="s">
        <v>51</v>
      </c>
      <c r="K11" s="104"/>
      <c r="L11" s="27" t="s">
        <v>52</v>
      </c>
      <c r="M11" s="22" t="s">
        <v>9</v>
      </c>
      <c r="N11" s="27" t="s">
        <v>52</v>
      </c>
      <c r="O11" s="105" t="s">
        <v>9</v>
      </c>
    </row>
    <row r="12" spans="1:15" ht="20" customHeight="1" x14ac:dyDescent="0.15">
      <c r="E12" s="94"/>
      <c r="G12" s="101" t="s">
        <v>53</v>
      </c>
      <c r="H12" s="102"/>
      <c r="I12" s="103" t="s">
        <v>54</v>
      </c>
      <c r="K12" s="72" t="s">
        <v>55</v>
      </c>
      <c r="L12" s="106">
        <f>IF(COUNTA($F$19:$F$31)&gt;0,M12*AVERAGE($F$19:$F$31),0)</f>
        <v>0</v>
      </c>
      <c r="M12" s="107"/>
      <c r="N12" s="108">
        <f>IF(COUNTA($F$19:$F$31)&gt;0,O12/AVERAGE($F$19:$F$31),0)</f>
        <v>0</v>
      </c>
      <c r="O12" s="109">
        <f>IF(ISBLANK(M12),0,H6/M12*60)</f>
        <v>0</v>
      </c>
    </row>
    <row r="13" spans="1:15" ht="20" customHeight="1" x14ac:dyDescent="0.15">
      <c r="D13" s="110"/>
      <c r="E13" s="111"/>
      <c r="F13" s="75"/>
      <c r="G13" s="112" t="s">
        <v>133</v>
      </c>
      <c r="H13" s="113"/>
      <c r="I13" s="114" t="s">
        <v>134</v>
      </c>
      <c r="K13" s="87" t="s">
        <v>56</v>
      </c>
      <c r="L13" s="115">
        <f>IF(SUM(M19:M31)&gt;0,SUMIF(M19:M31,"&gt;0",M19:M31)/COUNTIF(M19:M31,"&gt;0"),0)</f>
        <v>6.2169493126674409</v>
      </c>
      <c r="M13" s="115">
        <f>IF(SUM(M19:M31)&gt;0,SUMIF(N19:N31,"&gt;0",N19:N31)/COUNTIF(N19:N31,"&gt;0"),0)</f>
        <v>7.316915463766164</v>
      </c>
      <c r="N13" s="53">
        <f>IF(SUM(M19:M31)&gt;0,SUMIF(J19:J31,"&gt;0",J19:J31)/COUNTIF(J19:J31,"&gt;0")/60,0)</f>
        <v>45.291666666666607</v>
      </c>
      <c r="O13" s="116">
        <f>IF(SUM(M19:M31)&gt;0,SUMIF(K19:K31,"&gt;0",K19:K31)/COUNTIF(K19:K31,"&gt;0")/60,0)</f>
        <v>38.272388888888834</v>
      </c>
    </row>
    <row r="14" spans="1:15" ht="5" customHeight="1" x14ac:dyDescent="0.15"/>
    <row r="15" spans="1:15" ht="20" customHeight="1" x14ac:dyDescent="0.15">
      <c r="A15" s="8" t="s">
        <v>1</v>
      </c>
      <c r="B15" s="9" t="s">
        <v>2</v>
      </c>
      <c r="C15" s="11" t="s">
        <v>57</v>
      </c>
      <c r="D15" s="11" t="s">
        <v>58</v>
      </c>
      <c r="E15" s="11" t="s">
        <v>3</v>
      </c>
      <c r="F15" s="11" t="s">
        <v>59</v>
      </c>
      <c r="G15" s="11" t="s">
        <v>60</v>
      </c>
      <c r="H15" s="11" t="s">
        <v>61</v>
      </c>
      <c r="I15" s="11" t="s">
        <v>62</v>
      </c>
      <c r="J15" s="11" t="s">
        <v>63</v>
      </c>
      <c r="K15" s="11" t="s">
        <v>64</v>
      </c>
      <c r="L15" s="11" t="s">
        <v>65</v>
      </c>
      <c r="M15" s="11" t="s">
        <v>46</v>
      </c>
      <c r="N15" s="11" t="s">
        <v>46</v>
      </c>
      <c r="O15" s="14" t="s">
        <v>66</v>
      </c>
    </row>
    <row r="16" spans="1:15" ht="20" customHeight="1" x14ac:dyDescent="0.15">
      <c r="A16" s="117"/>
      <c r="B16" s="16"/>
      <c r="C16" s="18"/>
      <c r="D16" s="18"/>
      <c r="E16" s="17"/>
      <c r="F16" s="18" t="s">
        <v>67</v>
      </c>
      <c r="G16" s="18" t="s">
        <v>68</v>
      </c>
      <c r="H16" s="18"/>
      <c r="I16" s="18"/>
      <c r="J16" s="18" t="s">
        <v>48</v>
      </c>
      <c r="K16" s="18" t="s">
        <v>69</v>
      </c>
      <c r="L16" s="18" t="s">
        <v>70</v>
      </c>
      <c r="M16" s="18" t="s">
        <v>71</v>
      </c>
      <c r="N16" s="18" t="s">
        <v>71</v>
      </c>
      <c r="O16" s="20"/>
    </row>
    <row r="17" spans="1:15" ht="20" customHeight="1" x14ac:dyDescent="0.15">
      <c r="A17" s="117"/>
      <c r="B17" s="16"/>
      <c r="C17" s="18"/>
      <c r="D17" s="18"/>
      <c r="E17" s="17"/>
      <c r="F17" s="18"/>
      <c r="G17" s="118"/>
      <c r="H17" s="18"/>
      <c r="I17" s="18"/>
      <c r="J17" s="18"/>
      <c r="K17" s="18" t="s">
        <v>48</v>
      </c>
      <c r="L17" s="18"/>
      <c r="M17" s="18" t="s">
        <v>52</v>
      </c>
      <c r="N17" s="18" t="s">
        <v>9</v>
      </c>
      <c r="O17" s="20"/>
    </row>
    <row r="18" spans="1:15" ht="20" customHeight="1" thickBot="1" x14ac:dyDescent="0.2">
      <c r="A18" s="117"/>
      <c r="B18" s="16"/>
      <c r="C18" s="18"/>
      <c r="D18" s="18"/>
      <c r="E18" s="17"/>
      <c r="F18" s="18"/>
      <c r="G18" s="118" t="s">
        <v>72</v>
      </c>
      <c r="H18" s="118" t="s">
        <v>73</v>
      </c>
      <c r="I18" s="118" t="s">
        <v>73</v>
      </c>
      <c r="J18" s="118" t="s">
        <v>74</v>
      </c>
      <c r="K18" s="118" t="s">
        <v>74</v>
      </c>
      <c r="L18" s="118" t="s">
        <v>74</v>
      </c>
      <c r="M18" s="118" t="s">
        <v>47</v>
      </c>
      <c r="N18" s="118" t="s">
        <v>47</v>
      </c>
      <c r="O18" s="20"/>
    </row>
    <row r="19" spans="1:15" ht="20" customHeight="1" x14ac:dyDescent="0.15">
      <c r="A19" s="247">
        <v>1</v>
      </c>
      <c r="B19" s="253" t="str">
        <f>Sammanställning!B9</f>
        <v>Staffan Kerker</v>
      </c>
      <c r="C19" s="248" t="s">
        <v>160</v>
      </c>
      <c r="D19" s="284"/>
      <c r="E19" s="275">
        <f>Sammanställning!C9</f>
        <v>707</v>
      </c>
      <c r="F19" s="276">
        <v>0.86799999999999999</v>
      </c>
      <c r="G19" s="251">
        <v>6</v>
      </c>
      <c r="H19" s="252">
        <v>0.7680555555555556</v>
      </c>
      <c r="I19" s="252">
        <v>0.79858796296296297</v>
      </c>
      <c r="J19" s="253">
        <f t="shared" ref="J19:J31" si="0">IF(I19&gt;0,(I19-H19)*24*3600,0)</f>
        <v>2637.9999999999968</v>
      </c>
      <c r="K19" s="253">
        <f t="shared" ref="K19:K31" si="1">J19*F19</f>
        <v>2289.7839999999974</v>
      </c>
      <c r="L19" s="253">
        <f t="array" ref="L19">K19-MIN(IF(K19:K31&gt;0,(K19:K31)))</f>
        <v>80.724000000004708</v>
      </c>
      <c r="M19" s="255">
        <f t="shared" ref="M19:M31" si="2">IF(J19&gt;0,$H$6/J19*3600,0)</f>
        <v>6.3593631539044813</v>
      </c>
      <c r="N19" s="255">
        <f t="shared" ref="N19:N31" si="3">IF(K19&gt;0,M19/F19,0)</f>
        <v>7.326455246433734</v>
      </c>
      <c r="O19" s="256">
        <f t="shared" ref="O19:O30" si="4">RANK(K19,$K$19:$K$31,1)-COUNTIF($K$19:$K$31,0)</f>
        <v>5</v>
      </c>
    </row>
    <row r="20" spans="1:15" ht="20" customHeight="1" x14ac:dyDescent="0.15">
      <c r="A20" s="257">
        <v>2</v>
      </c>
      <c r="B20" s="34" t="str">
        <f>Sammanställning!B10</f>
        <v>Jan-Erik Jonsson</v>
      </c>
      <c r="C20" s="39" t="s">
        <v>179</v>
      </c>
      <c r="D20" s="40"/>
      <c r="E20" s="129">
        <f>Sammanställning!C10</f>
        <v>707</v>
      </c>
      <c r="F20" s="206">
        <v>0.86799999999999999</v>
      </c>
      <c r="G20" s="46">
        <v>6</v>
      </c>
      <c r="H20" s="122">
        <v>0.7680555555555556</v>
      </c>
      <c r="I20" s="122">
        <v>0.79827546296296292</v>
      </c>
      <c r="J20" s="34">
        <f t="shared" si="0"/>
        <v>2610.9999999999923</v>
      </c>
      <c r="K20" s="34">
        <f t="shared" si="1"/>
        <v>2266.3479999999931</v>
      </c>
      <c r="L20" s="34">
        <f t="array" ref="L20">K20-MIN(IF(K19:K31&gt;0,(K19:K31)))</f>
        <v>57.288000000000466</v>
      </c>
      <c r="M20" s="124">
        <f t="shared" si="2"/>
        <v>6.4251244733818655</v>
      </c>
      <c r="N20" s="124">
        <f t="shared" si="3"/>
        <v>7.4022171352325641</v>
      </c>
      <c r="O20" s="258">
        <f t="shared" si="4"/>
        <v>3</v>
      </c>
    </row>
    <row r="21" spans="1:15" ht="20" customHeight="1" x14ac:dyDescent="0.15">
      <c r="A21" s="257">
        <v>3</v>
      </c>
      <c r="B21" s="34" t="str">
        <f>Sammanställning!B11</f>
        <v>Tobjörn Herbertsson</v>
      </c>
      <c r="C21" s="39" t="s">
        <v>161</v>
      </c>
      <c r="D21" s="40"/>
      <c r="E21" s="129">
        <f>Sammanställning!C11</f>
        <v>707</v>
      </c>
      <c r="F21" s="206">
        <v>0.86799999999999999</v>
      </c>
      <c r="G21" s="46">
        <v>6</v>
      </c>
      <c r="H21" s="122">
        <v>0.7680555555555556</v>
      </c>
      <c r="I21" s="122">
        <v>0.79751157407407403</v>
      </c>
      <c r="J21" s="34">
        <f t="shared" si="0"/>
        <v>2544.9999999999918</v>
      </c>
      <c r="K21" s="34">
        <f t="shared" si="1"/>
        <v>2209.0599999999927</v>
      </c>
      <c r="L21" s="34">
        <f t="array" ref="L21">K21-MIN(IF(K19:K31&gt;0,(K19:K31)))</f>
        <v>0</v>
      </c>
      <c r="M21" s="124">
        <f t="shared" si="2"/>
        <v>6.5917485265226148</v>
      </c>
      <c r="N21" s="124">
        <f t="shared" si="3"/>
        <v>7.5941803300951785</v>
      </c>
      <c r="O21" s="280">
        <f t="shared" si="4"/>
        <v>1</v>
      </c>
    </row>
    <row r="22" spans="1:15" ht="20" customHeight="1" x14ac:dyDescent="0.15">
      <c r="A22" s="257">
        <v>4</v>
      </c>
      <c r="B22" s="34" t="str">
        <f>Sammanställning!B12</f>
        <v>Urban Thim</v>
      </c>
      <c r="C22" s="39" t="s">
        <v>162</v>
      </c>
      <c r="D22" s="40"/>
      <c r="E22" s="129" t="str">
        <f>Sammanställning!C12</f>
        <v>707U</v>
      </c>
      <c r="F22" s="206">
        <v>0.86799999999999999</v>
      </c>
      <c r="G22" s="46">
        <v>6</v>
      </c>
      <c r="H22" s="285">
        <v>0.7680555555555556</v>
      </c>
      <c r="I22" s="122">
        <v>0.79833333333333334</v>
      </c>
      <c r="J22" s="34">
        <f t="shared" si="0"/>
        <v>2615.9999999999964</v>
      </c>
      <c r="K22" s="34">
        <f t="shared" si="1"/>
        <v>2270.6879999999969</v>
      </c>
      <c r="L22" s="34">
        <f t="array" ref="L22">K22-MIN(IF(K19:K31&gt;0,(K19:K31)))</f>
        <v>61.628000000004249</v>
      </c>
      <c r="M22" s="124">
        <f t="shared" si="2"/>
        <v>6.4128440366972566</v>
      </c>
      <c r="N22" s="124">
        <f t="shared" si="3"/>
        <v>7.3880691667019089</v>
      </c>
      <c r="O22" s="258">
        <f t="shared" si="4"/>
        <v>4</v>
      </c>
    </row>
    <row r="23" spans="1:15" ht="20" customHeight="1" x14ac:dyDescent="0.15">
      <c r="A23" s="257">
        <v>5</v>
      </c>
      <c r="B23" s="34" t="str">
        <f>Sammanställning!B13</f>
        <v>Lars Berglund</v>
      </c>
      <c r="C23" s="39" t="s">
        <v>163</v>
      </c>
      <c r="D23" s="214"/>
      <c r="E23" s="129" t="str">
        <f>Sammanställning!C13</f>
        <v>Maxi Magic</v>
      </c>
      <c r="F23" s="206">
        <v>0.85199999999999998</v>
      </c>
      <c r="G23" s="46">
        <v>5</v>
      </c>
      <c r="H23" s="122">
        <v>0.76736111111111116</v>
      </c>
      <c r="I23" s="122">
        <v>0.7978587962962963</v>
      </c>
      <c r="J23" s="34">
        <f t="shared" si="0"/>
        <v>2634.9999999999964</v>
      </c>
      <c r="K23" s="34">
        <f t="shared" si="1"/>
        <v>2245.0199999999968</v>
      </c>
      <c r="L23" s="34">
        <f t="array" ref="L23">K23-MIN(IF(K19:K31&gt;0,(K19:K31)))</f>
        <v>35.960000000004129</v>
      </c>
      <c r="M23" s="124">
        <f t="shared" si="2"/>
        <v>6.3666034155597817</v>
      </c>
      <c r="N23" s="124">
        <f t="shared" si="3"/>
        <v>7.4725392201405887</v>
      </c>
      <c r="O23" s="258">
        <f t="shared" si="4"/>
        <v>2</v>
      </c>
    </row>
    <row r="24" spans="1:15" ht="20" customHeight="1" x14ac:dyDescent="0.15">
      <c r="A24" s="257">
        <v>6</v>
      </c>
      <c r="B24" s="34" t="str">
        <f>Sammanställning!B14</f>
        <v>Ingmar Olsson</v>
      </c>
      <c r="C24" s="39"/>
      <c r="D24" s="127"/>
      <c r="E24" s="129" t="str">
        <f>Sammanställning!C14</f>
        <v>Avanti</v>
      </c>
      <c r="F24" s="206"/>
      <c r="G24" s="46"/>
      <c r="H24" s="211" t="s">
        <v>178</v>
      </c>
      <c r="I24" s="122"/>
      <c r="J24" s="34">
        <f t="shared" si="0"/>
        <v>0</v>
      </c>
      <c r="K24" s="34">
        <f t="shared" si="1"/>
        <v>0</v>
      </c>
      <c r="L24" s="34">
        <f t="array" ref="L24">K24-MIN(IF(K19:K31&gt;0,(K19:K31)))</f>
        <v>-2209.0599999999927</v>
      </c>
      <c r="M24" s="124">
        <f t="shared" si="2"/>
        <v>0</v>
      </c>
      <c r="N24" s="124">
        <f t="shared" si="3"/>
        <v>0</v>
      </c>
      <c r="O24" s="281">
        <v>7</v>
      </c>
    </row>
    <row r="25" spans="1:15" ht="20" customHeight="1" x14ac:dyDescent="0.15">
      <c r="A25" s="257">
        <v>7</v>
      </c>
      <c r="B25" s="34" t="str">
        <f>Sammanställning!B15</f>
        <v>Erik Andersson</v>
      </c>
      <c r="C25" s="128"/>
      <c r="D25" s="40"/>
      <c r="E25" s="129" t="str">
        <f>Sammanställning!C15</f>
        <v>Elan 210</v>
      </c>
      <c r="F25" s="41"/>
      <c r="G25" s="46"/>
      <c r="H25" s="211" t="s">
        <v>178</v>
      </c>
      <c r="I25" s="122"/>
      <c r="J25" s="34">
        <f t="shared" si="0"/>
        <v>0</v>
      </c>
      <c r="K25" s="34">
        <f t="shared" si="1"/>
        <v>0</v>
      </c>
      <c r="L25" s="34">
        <f t="array" ref="L25">K25-MIN(IF(K19:K31&gt;0,(K19:K31)))</f>
        <v>-2209.0599999999927</v>
      </c>
      <c r="M25" s="124">
        <f t="shared" si="2"/>
        <v>0</v>
      </c>
      <c r="N25" s="124">
        <f t="shared" si="3"/>
        <v>0</v>
      </c>
      <c r="O25" s="281">
        <v>7</v>
      </c>
    </row>
    <row r="26" spans="1:15" ht="20" customHeight="1" x14ac:dyDescent="0.15">
      <c r="A26" s="257">
        <v>8</v>
      </c>
      <c r="B26" s="34" t="str">
        <f>Sammanställning!B16</f>
        <v>Magnus Nilsson</v>
      </c>
      <c r="C26" s="210"/>
      <c r="D26" s="215"/>
      <c r="E26" s="129" t="str">
        <f>Sammanställning!C16</f>
        <v>Viggen</v>
      </c>
      <c r="F26" s="206">
        <v>0.76600000000000001</v>
      </c>
      <c r="G26" s="46">
        <v>0</v>
      </c>
      <c r="H26" s="285">
        <v>0.76388888888888884</v>
      </c>
      <c r="I26" s="122">
        <v>0.80162037037037037</v>
      </c>
      <c r="J26" s="34">
        <f t="shared" si="0"/>
        <v>3260.0000000000045</v>
      </c>
      <c r="K26" s="34">
        <f t="shared" si="1"/>
        <v>2497.1600000000035</v>
      </c>
      <c r="L26" s="34">
        <f t="array" ref="L26">K26-MIN(IF(K19:K31&gt;0,(K19:K31)))</f>
        <v>288.10000000001082</v>
      </c>
      <c r="M26" s="124">
        <f t="shared" si="2"/>
        <v>5.1460122699386437</v>
      </c>
      <c r="N26" s="124">
        <f t="shared" si="3"/>
        <v>6.718031683993007</v>
      </c>
      <c r="O26" s="258">
        <f t="shared" si="4"/>
        <v>6</v>
      </c>
    </row>
    <row r="27" spans="1:15" ht="20" customHeight="1" x14ac:dyDescent="0.15">
      <c r="A27" s="257">
        <v>9</v>
      </c>
      <c r="B27" s="34">
        <f>Sammanställning!B17</f>
        <v>0</v>
      </c>
      <c r="C27" s="39"/>
      <c r="D27" s="40"/>
      <c r="E27" s="129">
        <f>Sammanställning!C17</f>
        <v>0</v>
      </c>
      <c r="F27" s="206"/>
      <c r="G27" s="46"/>
      <c r="H27" s="211"/>
      <c r="I27" s="122"/>
      <c r="J27" s="34">
        <f t="shared" si="0"/>
        <v>0</v>
      </c>
      <c r="K27" s="34">
        <f t="shared" si="1"/>
        <v>0</v>
      </c>
      <c r="L27" s="34">
        <f t="array" ref="L27">K27-MIN(IF(K19:K31&gt;0,(K19:K31)))</f>
        <v>-2209.0599999999927</v>
      </c>
      <c r="M27" s="124">
        <f t="shared" si="2"/>
        <v>0</v>
      </c>
      <c r="N27" s="124">
        <f t="shared" si="3"/>
        <v>0</v>
      </c>
      <c r="O27" s="258">
        <f t="shared" si="4"/>
        <v>-6</v>
      </c>
    </row>
    <row r="28" spans="1:15" ht="20" customHeight="1" x14ac:dyDescent="0.15">
      <c r="A28" s="257">
        <v>10</v>
      </c>
      <c r="B28" s="34">
        <f>Sammanställning!B18</f>
        <v>0</v>
      </c>
      <c r="C28" s="128"/>
      <c r="D28" s="40"/>
      <c r="E28" s="129">
        <f>Sammanställning!C18</f>
        <v>0</v>
      </c>
      <c r="F28" s="41"/>
      <c r="G28" s="46"/>
      <c r="H28" s="211"/>
      <c r="I28" s="122"/>
      <c r="J28" s="34">
        <f t="shared" si="0"/>
        <v>0</v>
      </c>
      <c r="K28" s="34">
        <f t="shared" si="1"/>
        <v>0</v>
      </c>
      <c r="L28" s="34">
        <f t="array" ref="L28">K28-MIN(IF(K19:K31&gt;0,(K19:K31)))</f>
        <v>-2209.0599999999927</v>
      </c>
      <c r="M28" s="124">
        <f t="shared" si="2"/>
        <v>0</v>
      </c>
      <c r="N28" s="124">
        <f t="shared" si="3"/>
        <v>0</v>
      </c>
      <c r="O28" s="258">
        <f t="shared" si="4"/>
        <v>-6</v>
      </c>
    </row>
    <row r="29" spans="1:15" ht="20" customHeight="1" x14ac:dyDescent="0.15">
      <c r="A29" s="257">
        <v>11</v>
      </c>
      <c r="B29" s="34">
        <f>Sammanställning!B19</f>
        <v>0</v>
      </c>
      <c r="C29" s="210"/>
      <c r="D29" s="40"/>
      <c r="E29" s="129">
        <f>Sammanställning!C19</f>
        <v>0</v>
      </c>
      <c r="F29" s="206"/>
      <c r="G29" s="46"/>
      <c r="H29" s="211"/>
      <c r="I29" s="122"/>
      <c r="J29" s="34">
        <f t="shared" si="0"/>
        <v>0</v>
      </c>
      <c r="K29" s="34">
        <f t="shared" si="1"/>
        <v>0</v>
      </c>
      <c r="L29" s="34">
        <f t="array" ref="L29">K29-MIN(IF(K19:K31&gt;0,(K19:K31)))</f>
        <v>-2209.0599999999927</v>
      </c>
      <c r="M29" s="124">
        <f t="shared" si="2"/>
        <v>0</v>
      </c>
      <c r="N29" s="124">
        <f t="shared" si="3"/>
        <v>0</v>
      </c>
      <c r="O29" s="258">
        <f t="shared" si="4"/>
        <v>-6</v>
      </c>
    </row>
    <row r="30" spans="1:15" ht="20" customHeight="1" thickBot="1" x14ac:dyDescent="0.2">
      <c r="A30" s="259">
        <v>12</v>
      </c>
      <c r="B30" s="216">
        <f>Sammanställning!B20</f>
        <v>0</v>
      </c>
      <c r="C30" s="260"/>
      <c r="D30" s="261"/>
      <c r="E30" s="262">
        <f>Sammanställning!C20</f>
        <v>0</v>
      </c>
      <c r="F30" s="277"/>
      <c r="G30" s="264"/>
      <c r="H30" s="278"/>
      <c r="I30" s="266"/>
      <c r="J30" s="216">
        <f t="shared" si="0"/>
        <v>0</v>
      </c>
      <c r="K30" s="216">
        <f t="shared" si="1"/>
        <v>0</v>
      </c>
      <c r="L30" s="216">
        <f t="array" ref="L30">K30-MIN(IF(K19:K31&gt;0,(K19:K31)))</f>
        <v>-2209.0599999999927</v>
      </c>
      <c r="M30" s="268">
        <f t="shared" si="2"/>
        <v>0</v>
      </c>
      <c r="N30" s="268">
        <f t="shared" si="3"/>
        <v>0</v>
      </c>
      <c r="O30" s="269">
        <f t="shared" si="4"/>
        <v>-6</v>
      </c>
    </row>
    <row r="31" spans="1:15" ht="20" customHeight="1" thickBot="1" x14ac:dyDescent="0.2">
      <c r="A31" s="21">
        <v>13</v>
      </c>
      <c r="B31" s="239">
        <f>Sammanställning!B21</f>
        <v>0</v>
      </c>
      <c r="C31" s="240"/>
      <c r="D31" s="240"/>
      <c r="E31" s="241">
        <f>Sammanställning!C21</f>
        <v>0</v>
      </c>
      <c r="F31" s="242"/>
      <c r="G31" s="24"/>
      <c r="H31" s="273"/>
      <c r="I31" s="243"/>
      <c r="J31" s="239">
        <f t="shared" si="0"/>
        <v>0</v>
      </c>
      <c r="K31" s="239">
        <f t="shared" si="1"/>
        <v>0</v>
      </c>
      <c r="L31" s="239">
        <f t="array" ref="L31">K31-MIN(IF(K19:K31&gt;0,(K19:K31)))</f>
        <v>-2209.0599999999927</v>
      </c>
      <c r="M31" s="245">
        <f t="shared" si="2"/>
        <v>0</v>
      </c>
      <c r="N31" s="245">
        <f t="shared" si="3"/>
        <v>0</v>
      </c>
      <c r="O31" s="283"/>
    </row>
  </sheetData>
  <sheetProtection selectLockedCells="1" selectUnlockedCells="1"/>
  <mergeCells count="8">
    <mergeCell ref="C10:D10"/>
    <mergeCell ref="C5:D5"/>
    <mergeCell ref="C6:D6"/>
    <mergeCell ref="L6:O6"/>
    <mergeCell ref="C7:D7"/>
    <mergeCell ref="L7:N7"/>
    <mergeCell ref="C8:D8"/>
    <mergeCell ref="L8:O8"/>
  </mergeCells>
  <phoneticPr fontId="12" type="noConversion"/>
  <printOptions horizontalCentered="1"/>
  <pageMargins left="0" right="0" top="0.19652777777777777" bottom="0.19652777777777777" header="0.51180555555555551" footer="0.51180555555555551"/>
  <pageSetup paperSize="9" firstPageNumber="0" orientation="landscape" horizontalDpi="4294967293" verticalDpi="4294967293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0D78A-F99A-3445-A911-E4ADE532D374}">
  <sheetPr codeName="Blad6"/>
  <dimension ref="A1:P31"/>
  <sheetViews>
    <sheetView zoomScale="110" zoomScaleNormal="110" workbookViewId="0">
      <selection activeCell="U20" sqref="U20"/>
    </sheetView>
  </sheetViews>
  <sheetFormatPr baseColWidth="10" defaultColWidth="9.25" defaultRowHeight="13" x14ac:dyDescent="0.15"/>
  <cols>
    <col min="1" max="1" width="6.75" style="1" customWidth="1"/>
    <col min="2" max="2" width="26.5" style="1" customWidth="1"/>
    <col min="3" max="3" width="27.25" style="1" customWidth="1"/>
    <col min="4" max="4" width="16" style="1" customWidth="1"/>
    <col min="5" max="5" width="16.75" style="2" customWidth="1"/>
    <col min="6" max="6" width="9" style="1" customWidth="1"/>
    <col min="7" max="7" width="8.5" style="1" customWidth="1"/>
    <col min="8" max="8" width="13.5" style="1" customWidth="1"/>
    <col min="9" max="9" width="14.25" style="1" customWidth="1"/>
    <col min="10" max="10" width="13.5" style="1" customWidth="1"/>
    <col min="11" max="11" width="11.75" style="1" customWidth="1"/>
    <col min="12" max="15" width="8.75" style="1" customWidth="1"/>
    <col min="16" max="16" width="7.75" style="1" customWidth="1"/>
    <col min="17" max="17" width="6.75" style="1" customWidth="1"/>
    <col min="18" max="16384" width="9.25" style="1"/>
  </cols>
  <sheetData>
    <row r="1" spans="1:15" ht="8" customHeight="1" x14ac:dyDescent="0.15"/>
    <row r="2" spans="1:15" ht="25" customHeight="1" x14ac:dyDescent="0.25">
      <c r="A2" s="3"/>
      <c r="G2" s="4" t="str">
        <f>Sammanställning!G2</f>
        <v>HSS Torsdagscup 2026</v>
      </c>
      <c r="H2" s="5"/>
      <c r="I2" s="5"/>
    </row>
    <row r="3" spans="1:15" ht="20" customHeight="1" x14ac:dyDescent="0.2">
      <c r="G3" s="6" t="s">
        <v>77</v>
      </c>
      <c r="H3" s="5"/>
      <c r="I3" s="5"/>
      <c r="J3" s="5"/>
    </row>
    <row r="4" spans="1:15" ht="7" customHeight="1" x14ac:dyDescent="0.2">
      <c r="A4" s="3"/>
    </row>
    <row r="5" spans="1:15" ht="20" customHeight="1" x14ac:dyDescent="0.15">
      <c r="A5" s="62" t="s">
        <v>26</v>
      </c>
      <c r="B5" s="63"/>
      <c r="C5" s="325">
        <v>4</v>
      </c>
      <c r="D5" s="325"/>
      <c r="E5" s="64" t="s">
        <v>27</v>
      </c>
      <c r="F5" s="65"/>
      <c r="G5" s="66"/>
      <c r="H5" s="67" t="s">
        <v>186</v>
      </c>
      <c r="I5" s="68"/>
      <c r="K5" s="69" t="s">
        <v>28</v>
      </c>
      <c r="L5" s="70"/>
      <c r="M5" s="70"/>
      <c r="N5" s="70"/>
      <c r="O5" s="71"/>
    </row>
    <row r="6" spans="1:15" ht="20" customHeight="1" x14ac:dyDescent="0.15">
      <c r="A6" s="72" t="s">
        <v>29</v>
      </c>
      <c r="B6" s="73"/>
      <c r="C6" s="326" t="s">
        <v>156</v>
      </c>
      <c r="D6" s="326"/>
      <c r="E6" s="74" t="s">
        <v>30</v>
      </c>
      <c r="F6" s="75"/>
      <c r="G6" s="76"/>
      <c r="H6" s="77">
        <v>2.2599999999999998</v>
      </c>
      <c r="I6" s="78" t="s">
        <v>31</v>
      </c>
      <c r="K6" s="79" t="s">
        <v>32</v>
      </c>
      <c r="L6" s="327" t="s">
        <v>183</v>
      </c>
      <c r="M6" s="327"/>
      <c r="N6" s="327"/>
      <c r="O6" s="327"/>
    </row>
    <row r="7" spans="1:15" ht="20" customHeight="1" x14ac:dyDescent="0.15">
      <c r="A7" s="80" t="s">
        <v>33</v>
      </c>
      <c r="B7" s="81"/>
      <c r="C7" s="328">
        <v>46184</v>
      </c>
      <c r="D7" s="328"/>
      <c r="E7" s="82" t="s">
        <v>34</v>
      </c>
      <c r="F7" s="83"/>
      <c r="G7" s="66" t="s">
        <v>35</v>
      </c>
      <c r="H7" s="65"/>
      <c r="I7" s="84" t="s">
        <v>36</v>
      </c>
      <c r="K7" s="85" t="s">
        <v>37</v>
      </c>
      <c r="L7" s="332" t="s">
        <v>187</v>
      </c>
      <c r="M7" s="332"/>
      <c r="N7" s="332"/>
      <c r="O7" s="86" t="s">
        <v>38</v>
      </c>
    </row>
    <row r="8" spans="1:15" ht="20" customHeight="1" x14ac:dyDescent="0.15">
      <c r="A8" s="87" t="s">
        <v>39</v>
      </c>
      <c r="B8" s="88"/>
      <c r="C8" s="330">
        <v>0.79166666666666663</v>
      </c>
      <c r="D8" s="330"/>
      <c r="E8" s="89" t="s">
        <v>40</v>
      </c>
      <c r="G8" s="90"/>
      <c r="H8" s="91"/>
      <c r="I8" s="92"/>
      <c r="K8" s="93" t="s">
        <v>41</v>
      </c>
      <c r="L8" s="331" t="s">
        <v>188</v>
      </c>
      <c r="M8" s="331"/>
      <c r="N8" s="331"/>
      <c r="O8" s="331"/>
    </row>
    <row r="9" spans="1:15" ht="20" customHeight="1" x14ac:dyDescent="0.15">
      <c r="C9" s="5"/>
      <c r="D9" s="58"/>
      <c r="E9" s="94"/>
      <c r="G9" s="90"/>
      <c r="H9" s="91"/>
      <c r="I9" s="92"/>
      <c r="K9" s="62" t="s">
        <v>42</v>
      </c>
      <c r="L9" s="65"/>
      <c r="M9" s="95"/>
      <c r="N9" s="95"/>
      <c r="O9" s="96"/>
    </row>
    <row r="10" spans="1:15" ht="20" customHeight="1" x14ac:dyDescent="0.15">
      <c r="A10" s="69" t="s">
        <v>43</v>
      </c>
      <c r="B10" s="70"/>
      <c r="C10" s="324" t="s">
        <v>185</v>
      </c>
      <c r="D10" s="324"/>
      <c r="E10" s="94"/>
      <c r="G10" s="90" t="s">
        <v>44</v>
      </c>
      <c r="H10" s="91"/>
      <c r="I10" s="92" t="s">
        <v>45</v>
      </c>
      <c r="K10" s="97"/>
      <c r="L10" s="98" t="s">
        <v>46</v>
      </c>
      <c r="M10" s="99" t="s">
        <v>47</v>
      </c>
      <c r="N10" s="98" t="s">
        <v>48</v>
      </c>
      <c r="O10" s="100" t="s">
        <v>49</v>
      </c>
    </row>
    <row r="11" spans="1:15" ht="20" customHeight="1" x14ac:dyDescent="0.15">
      <c r="E11" s="94"/>
      <c r="G11" s="101" t="s">
        <v>50</v>
      </c>
      <c r="H11" s="102"/>
      <c r="I11" s="103" t="s">
        <v>51</v>
      </c>
      <c r="K11" s="104"/>
      <c r="L11" s="27" t="s">
        <v>52</v>
      </c>
      <c r="M11" s="22" t="s">
        <v>9</v>
      </c>
      <c r="N11" s="27" t="s">
        <v>52</v>
      </c>
      <c r="O11" s="105" t="s">
        <v>9</v>
      </c>
    </row>
    <row r="12" spans="1:15" ht="20" customHeight="1" x14ac:dyDescent="0.15">
      <c r="E12" s="94"/>
      <c r="G12" s="101" t="s">
        <v>135</v>
      </c>
      <c r="H12" s="102"/>
      <c r="I12" s="103" t="s">
        <v>54</v>
      </c>
      <c r="K12" s="72" t="s">
        <v>55</v>
      </c>
      <c r="L12" s="106">
        <f>IF(COUNTA($F$19:$F$31)&gt;0,M12*AVERAGE($F$19:$F$31),0)</f>
        <v>0</v>
      </c>
      <c r="M12" s="107"/>
      <c r="N12" s="108">
        <f>IF(COUNTA($F$19:$F$31)&gt;0,O12/AVERAGE($F$19:$F$31),0)</f>
        <v>0</v>
      </c>
      <c r="O12" s="109">
        <f>IF(ISBLANK(M12),0,H6/M12*60)</f>
        <v>0</v>
      </c>
    </row>
    <row r="13" spans="1:15" ht="20" customHeight="1" x14ac:dyDescent="0.15">
      <c r="D13" s="110"/>
      <c r="E13" s="111"/>
      <c r="F13" s="75"/>
      <c r="G13" s="112" t="s">
        <v>133</v>
      </c>
      <c r="H13" s="113"/>
      <c r="I13" s="114" t="s">
        <v>134</v>
      </c>
      <c r="K13" s="87" t="s">
        <v>56</v>
      </c>
      <c r="L13" s="115">
        <f>IF(SUM(M19:M31)&gt;0,SUMIF(M19:M31,"&gt;0",M19:M31)/COUNTIF(M19:M31,"&gt;0"),0)</f>
        <v>2.3751250260151404</v>
      </c>
      <c r="M13" s="115">
        <f>IF(SUM(M19:M31)&gt;0,SUMIF(N19:N31,"&gt;0",N19:N31)/COUNTIF(N19:N31,"&gt;0"),0)</f>
        <v>2.7911131129450863</v>
      </c>
      <c r="N13" s="53">
        <f>IF(SUM(M19:M31)&gt;0,SUMIF(J19:J31,"&gt;0",J19:J31)/COUNTIF(J19:J31,"&gt;0")/60,0)</f>
        <v>57.870833333333358</v>
      </c>
      <c r="O13" s="116">
        <f>IF(SUM(M19:M31)&gt;0,SUMIF(K19:K31,"&gt;0",K19:K31)/COUNTIF(K19:K31,"&gt;0")/60,0)</f>
        <v>49.039983333333353</v>
      </c>
    </row>
    <row r="14" spans="1:15" ht="4" customHeight="1" x14ac:dyDescent="0.15"/>
    <row r="15" spans="1:15" ht="20" customHeight="1" x14ac:dyDescent="0.15">
      <c r="A15" s="8" t="s">
        <v>1</v>
      </c>
      <c r="B15" s="9" t="s">
        <v>2</v>
      </c>
      <c r="C15" s="11" t="s">
        <v>57</v>
      </c>
      <c r="D15" s="11" t="s">
        <v>58</v>
      </c>
      <c r="E15" s="11" t="s">
        <v>3</v>
      </c>
      <c r="F15" s="11" t="s">
        <v>59</v>
      </c>
      <c r="G15" s="11" t="s">
        <v>60</v>
      </c>
      <c r="H15" s="11" t="s">
        <v>61</v>
      </c>
      <c r="I15" s="11" t="s">
        <v>62</v>
      </c>
      <c r="J15" s="11" t="s">
        <v>63</v>
      </c>
      <c r="K15" s="11" t="s">
        <v>64</v>
      </c>
      <c r="L15" s="11" t="s">
        <v>65</v>
      </c>
      <c r="M15" s="11" t="s">
        <v>46</v>
      </c>
      <c r="N15" s="11" t="s">
        <v>46</v>
      </c>
      <c r="O15" s="14" t="s">
        <v>66</v>
      </c>
    </row>
    <row r="16" spans="1:15" ht="20" customHeight="1" x14ac:dyDescent="0.15">
      <c r="A16" s="117"/>
      <c r="B16" s="16"/>
      <c r="C16" s="18"/>
      <c r="D16" s="18"/>
      <c r="E16" s="17"/>
      <c r="F16" s="18" t="s">
        <v>67</v>
      </c>
      <c r="G16" s="18" t="s">
        <v>68</v>
      </c>
      <c r="H16" s="18"/>
      <c r="I16" s="18"/>
      <c r="J16" s="18" t="s">
        <v>48</v>
      </c>
      <c r="K16" s="18" t="s">
        <v>69</v>
      </c>
      <c r="L16" s="18" t="s">
        <v>70</v>
      </c>
      <c r="M16" s="18" t="s">
        <v>71</v>
      </c>
      <c r="N16" s="18" t="s">
        <v>71</v>
      </c>
      <c r="O16" s="20"/>
    </row>
    <row r="17" spans="1:16" ht="20" customHeight="1" x14ac:dyDescent="0.15">
      <c r="A17" s="117"/>
      <c r="B17" s="16"/>
      <c r="C17" s="18"/>
      <c r="D17" s="18"/>
      <c r="E17" s="17"/>
      <c r="F17" s="18"/>
      <c r="G17" s="118"/>
      <c r="H17" s="18"/>
      <c r="I17" s="18"/>
      <c r="J17" s="18"/>
      <c r="K17" s="18" t="s">
        <v>48</v>
      </c>
      <c r="L17" s="18"/>
      <c r="M17" s="18" t="s">
        <v>52</v>
      </c>
      <c r="N17" s="18" t="s">
        <v>9</v>
      </c>
      <c r="O17" s="20"/>
    </row>
    <row r="18" spans="1:16" ht="20" customHeight="1" thickBot="1" x14ac:dyDescent="0.2">
      <c r="A18" s="117"/>
      <c r="B18" s="16"/>
      <c r="C18" s="18"/>
      <c r="D18" s="18"/>
      <c r="E18" s="17"/>
      <c r="F18" s="18"/>
      <c r="G18" s="118" t="s">
        <v>72</v>
      </c>
      <c r="H18" s="118" t="s">
        <v>73</v>
      </c>
      <c r="I18" s="118" t="s">
        <v>73</v>
      </c>
      <c r="J18" s="118" t="s">
        <v>74</v>
      </c>
      <c r="K18" s="118" t="s">
        <v>74</v>
      </c>
      <c r="L18" s="118" t="s">
        <v>74</v>
      </c>
      <c r="M18" s="118" t="s">
        <v>47</v>
      </c>
      <c r="N18" s="118" t="s">
        <v>47</v>
      </c>
      <c r="O18" s="20"/>
    </row>
    <row r="19" spans="1:16" ht="20" customHeight="1" x14ac:dyDescent="0.15">
      <c r="A19" s="247">
        <v>1</v>
      </c>
      <c r="B19" s="253" t="str">
        <f>Sammanställning!B9</f>
        <v>Staffan Kerker</v>
      </c>
      <c r="C19" s="248"/>
      <c r="D19" s="284"/>
      <c r="E19" s="275">
        <f>Sammanställning!C9</f>
        <v>707</v>
      </c>
      <c r="F19" s="276"/>
      <c r="G19" s="251"/>
      <c r="H19" s="290" t="s">
        <v>178</v>
      </c>
      <c r="I19" s="252"/>
      <c r="J19" s="253">
        <f t="shared" ref="J19:J31" si="0">IF(I19&gt;0,(I19-H19)*24*3600,0)</f>
        <v>0</v>
      </c>
      <c r="K19" s="253">
        <f t="shared" ref="K19:K31" si="1">J19*F19</f>
        <v>0</v>
      </c>
      <c r="L19" s="253">
        <f t="array" ref="L19">K19-MIN(IF(K19:K31&gt;0,(K19:K31)))</f>
        <v>-2623.9640000000049</v>
      </c>
      <c r="M19" s="255">
        <f t="shared" ref="M19:M31" si="2">IF(J19&gt;0,$H$6/J19*3600,0)</f>
        <v>0</v>
      </c>
      <c r="N19" s="255">
        <f t="shared" ref="N19:N31" si="3">IF(K19&gt;0,M19/F19,0)</f>
        <v>0</v>
      </c>
      <c r="O19" s="289">
        <v>5</v>
      </c>
      <c r="P19" s="282"/>
    </row>
    <row r="20" spans="1:16" ht="20" customHeight="1" x14ac:dyDescent="0.15">
      <c r="A20" s="257">
        <v>2</v>
      </c>
      <c r="B20" s="34" t="str">
        <f>Sammanställning!B10</f>
        <v>Jan-Erik Jonsson</v>
      </c>
      <c r="C20" s="39" t="s">
        <v>166</v>
      </c>
      <c r="D20" s="40"/>
      <c r="E20" s="129">
        <f>Sammanställning!C10</f>
        <v>707</v>
      </c>
      <c r="F20" s="206">
        <v>0.86799999999999999</v>
      </c>
      <c r="G20" s="46"/>
      <c r="H20" s="122">
        <v>0.79166666666666663</v>
      </c>
      <c r="I20" s="122">
        <v>0.82665509259259262</v>
      </c>
      <c r="J20" s="34">
        <f t="shared" si="0"/>
        <v>3023.0000000000059</v>
      </c>
      <c r="K20" s="34">
        <f t="shared" si="1"/>
        <v>2623.9640000000049</v>
      </c>
      <c r="L20" s="34">
        <f t="array" ref="L20">K20-MIN(IF(K19:K31&gt;0,(K19:K31)))</f>
        <v>0</v>
      </c>
      <c r="M20" s="124">
        <f t="shared" si="2"/>
        <v>2.6913661925239776</v>
      </c>
      <c r="N20" s="124">
        <f t="shared" si="3"/>
        <v>3.1006522955345366</v>
      </c>
      <c r="O20" s="280">
        <f t="shared" ref="O20:O31" si="4">RANK(K20,$K$19:$K$31,1)-COUNTIF($K$19:$K$31,0)</f>
        <v>1</v>
      </c>
    </row>
    <row r="21" spans="1:16" ht="20" customHeight="1" x14ac:dyDescent="0.15">
      <c r="A21" s="257">
        <v>3</v>
      </c>
      <c r="B21" s="34" t="str">
        <f>Sammanställning!B11</f>
        <v>Tobjörn Herbertsson</v>
      </c>
      <c r="C21" s="39"/>
      <c r="D21" s="40"/>
      <c r="E21" s="129">
        <f>Sammanställning!C11</f>
        <v>707</v>
      </c>
      <c r="F21" s="206"/>
      <c r="G21" s="46"/>
      <c r="H21" s="211" t="s">
        <v>178</v>
      </c>
      <c r="I21" s="122"/>
      <c r="J21" s="34">
        <f t="shared" si="0"/>
        <v>0</v>
      </c>
      <c r="K21" s="34">
        <f t="shared" si="1"/>
        <v>0</v>
      </c>
      <c r="L21" s="34">
        <f t="array" ref="L21">K21-MIN(IF(K19:K31&gt;0,(K19:K31)))</f>
        <v>-2623.9640000000049</v>
      </c>
      <c r="M21" s="124">
        <f t="shared" si="2"/>
        <v>0</v>
      </c>
      <c r="N21" s="124">
        <f t="shared" si="3"/>
        <v>0</v>
      </c>
      <c r="O21" s="281">
        <v>5</v>
      </c>
      <c r="P21" s="282"/>
    </row>
    <row r="22" spans="1:16" ht="20" customHeight="1" x14ac:dyDescent="0.15">
      <c r="A22" s="257">
        <v>4</v>
      </c>
      <c r="B22" s="34" t="str">
        <f>Sammanställning!B12</f>
        <v>Urban Thim</v>
      </c>
      <c r="C22" s="39" t="s">
        <v>162</v>
      </c>
      <c r="D22" s="40"/>
      <c r="E22" s="129" t="str">
        <f>Sammanställning!C12</f>
        <v>707U</v>
      </c>
      <c r="F22" s="206">
        <v>0.86799999999999999</v>
      </c>
      <c r="G22" s="46"/>
      <c r="H22" s="122">
        <v>0.79166666666666663</v>
      </c>
      <c r="I22" s="122">
        <v>0.82777777777777772</v>
      </c>
      <c r="J22" s="34">
        <f t="shared" si="0"/>
        <v>3119.9999999999986</v>
      </c>
      <c r="K22" s="34">
        <f t="shared" si="1"/>
        <v>2708.1599999999989</v>
      </c>
      <c r="L22" s="34">
        <f t="array" ref="L22">K22-MIN(IF(K19:K31&gt;0,(K19:K31)))</f>
        <v>84.195999999994001</v>
      </c>
      <c r="M22" s="124">
        <f t="shared" si="2"/>
        <v>2.6076923076923086</v>
      </c>
      <c r="N22" s="124">
        <f t="shared" si="3"/>
        <v>3.0042538107054249</v>
      </c>
      <c r="O22" s="258">
        <f t="shared" si="4"/>
        <v>2</v>
      </c>
    </row>
    <row r="23" spans="1:16" ht="20" customHeight="1" x14ac:dyDescent="0.15">
      <c r="A23" s="257">
        <v>5</v>
      </c>
      <c r="B23" s="34" t="str">
        <f>Sammanställning!B13</f>
        <v>Lars Berglund</v>
      </c>
      <c r="C23" s="39" t="s">
        <v>163</v>
      </c>
      <c r="D23" s="127"/>
      <c r="E23" s="129" t="str">
        <f>Sammanställning!C13</f>
        <v>Maxi Magic</v>
      </c>
      <c r="F23" s="206">
        <v>0.85199999999999998</v>
      </c>
      <c r="G23" s="46"/>
      <c r="H23" s="122">
        <v>0.79166666666666663</v>
      </c>
      <c r="I23" s="122">
        <v>0.83664351851851848</v>
      </c>
      <c r="J23" s="34">
        <f t="shared" si="0"/>
        <v>3886</v>
      </c>
      <c r="K23" s="34">
        <f t="shared" si="1"/>
        <v>3310.8719999999998</v>
      </c>
      <c r="L23" s="34">
        <f t="array" ref="L23">K23-MIN(IF(K19:K31&gt;0,(K19:K31)))</f>
        <v>686.9079999999949</v>
      </c>
      <c r="M23" s="124">
        <f t="shared" si="2"/>
        <v>2.0936695831188881</v>
      </c>
      <c r="N23" s="124">
        <f t="shared" si="3"/>
        <v>2.4573586656324977</v>
      </c>
      <c r="O23" s="258">
        <f t="shared" si="4"/>
        <v>4</v>
      </c>
    </row>
    <row r="24" spans="1:16" ht="20" customHeight="1" x14ac:dyDescent="0.15">
      <c r="A24" s="257">
        <v>6</v>
      </c>
      <c r="B24" s="34" t="str">
        <f>Sammanställning!B14</f>
        <v>Ingmar Olsson</v>
      </c>
      <c r="C24" s="39"/>
      <c r="D24" s="127"/>
      <c r="E24" s="129" t="str">
        <f>Sammanställning!C14</f>
        <v>Avanti</v>
      </c>
      <c r="F24" s="206"/>
      <c r="G24" s="46"/>
      <c r="H24" s="211" t="s">
        <v>178</v>
      </c>
      <c r="I24" s="122"/>
      <c r="J24" s="34">
        <f t="shared" si="0"/>
        <v>0</v>
      </c>
      <c r="K24" s="34">
        <f t="shared" si="1"/>
        <v>0</v>
      </c>
      <c r="L24" s="34">
        <f t="array" ref="L24">K24-MIN(IF(K19:K31&gt;0,(K19:K31)))</f>
        <v>-2623.9640000000049</v>
      </c>
      <c r="M24" s="124">
        <f t="shared" si="2"/>
        <v>0</v>
      </c>
      <c r="N24" s="124">
        <f t="shared" si="3"/>
        <v>0</v>
      </c>
      <c r="O24" s="281">
        <v>5</v>
      </c>
      <c r="P24" s="282"/>
    </row>
    <row r="25" spans="1:16" ht="20" customHeight="1" x14ac:dyDescent="0.15">
      <c r="A25" s="257">
        <v>7</v>
      </c>
      <c r="B25" s="34" t="str">
        <f>Sammanställning!B15</f>
        <v>Erik Andersson</v>
      </c>
      <c r="C25" s="128"/>
      <c r="D25" s="40"/>
      <c r="E25" s="129" t="str">
        <f>Sammanställning!C15</f>
        <v>Elan 210</v>
      </c>
      <c r="F25" s="206">
        <v>0.81</v>
      </c>
      <c r="G25" s="46"/>
      <c r="H25" s="122">
        <v>0.79166666666666663</v>
      </c>
      <c r="I25" s="122">
        <v>0.83634259259259258</v>
      </c>
      <c r="J25" s="34">
        <f t="shared" si="0"/>
        <v>3860.0000000000023</v>
      </c>
      <c r="K25" s="34">
        <f t="shared" si="1"/>
        <v>3126.6000000000022</v>
      </c>
      <c r="L25" s="34">
        <f t="array" ref="L25">K25-MIN(IF(K19:K31&gt;0,(K19:K31)))</f>
        <v>502.63599999999724</v>
      </c>
      <c r="M25" s="124">
        <f t="shared" si="2"/>
        <v>2.1077720207253869</v>
      </c>
      <c r="N25" s="124">
        <f t="shared" si="3"/>
        <v>2.6021876799078849</v>
      </c>
      <c r="O25" s="258">
        <f t="shared" si="4"/>
        <v>3</v>
      </c>
    </row>
    <row r="26" spans="1:16" ht="20" customHeight="1" x14ac:dyDescent="0.15">
      <c r="A26" s="257">
        <v>8</v>
      </c>
      <c r="B26" s="34" t="str">
        <f>Sammanställning!B16</f>
        <v>Magnus Nilsson</v>
      </c>
      <c r="C26" s="39"/>
      <c r="D26" s="40"/>
      <c r="E26" s="129" t="str">
        <f>Sammanställning!C16</f>
        <v>Viggen</v>
      </c>
      <c r="F26" s="206"/>
      <c r="G26" s="46"/>
      <c r="H26" s="211" t="s">
        <v>178</v>
      </c>
      <c r="I26" s="122"/>
      <c r="J26" s="34">
        <f t="shared" si="0"/>
        <v>0</v>
      </c>
      <c r="K26" s="34">
        <f t="shared" si="1"/>
        <v>0</v>
      </c>
      <c r="L26" s="34">
        <f t="array" ref="L26">K26-MIN(IF(K19:K31&gt;0,(K19:K31)))</f>
        <v>-2623.9640000000049</v>
      </c>
      <c r="M26" s="124">
        <f t="shared" si="2"/>
        <v>0</v>
      </c>
      <c r="N26" s="124">
        <f t="shared" si="3"/>
        <v>0</v>
      </c>
      <c r="O26" s="281">
        <v>5</v>
      </c>
      <c r="P26" s="282"/>
    </row>
    <row r="27" spans="1:16" ht="20" customHeight="1" x14ac:dyDescent="0.15">
      <c r="A27" s="257">
        <v>9</v>
      </c>
      <c r="B27" s="34">
        <f>Sammanställning!B17</f>
        <v>0</v>
      </c>
      <c r="C27" s="39"/>
      <c r="D27" s="40"/>
      <c r="E27" s="129">
        <f>Sammanställning!C17</f>
        <v>0</v>
      </c>
      <c r="F27" s="206"/>
      <c r="G27" s="46"/>
      <c r="H27" s="211"/>
      <c r="I27" s="122"/>
      <c r="J27" s="34">
        <f t="shared" si="0"/>
        <v>0</v>
      </c>
      <c r="K27" s="34">
        <f t="shared" si="1"/>
        <v>0</v>
      </c>
      <c r="L27" s="34">
        <f t="array" ref="L27">K27-MIN(IF(K19:K31&gt;0,(K19:K31)))</f>
        <v>-2623.9640000000049</v>
      </c>
      <c r="M27" s="124">
        <f t="shared" si="2"/>
        <v>0</v>
      </c>
      <c r="N27" s="124">
        <f t="shared" si="3"/>
        <v>0</v>
      </c>
      <c r="O27" s="258">
        <f t="shared" si="4"/>
        <v>-8</v>
      </c>
    </row>
    <row r="28" spans="1:16" ht="20" customHeight="1" x14ac:dyDescent="0.15">
      <c r="A28" s="257">
        <v>10</v>
      </c>
      <c r="B28" s="34">
        <f>Sammanställning!B18</f>
        <v>0</v>
      </c>
      <c r="C28" s="128"/>
      <c r="D28" s="40"/>
      <c r="E28" s="129">
        <f>Sammanställning!C18</f>
        <v>0</v>
      </c>
      <c r="F28" s="206"/>
      <c r="G28" s="46"/>
      <c r="H28" s="211"/>
      <c r="I28" s="122"/>
      <c r="J28" s="34">
        <f t="shared" si="0"/>
        <v>0</v>
      </c>
      <c r="K28" s="34">
        <f t="shared" si="1"/>
        <v>0</v>
      </c>
      <c r="L28" s="34">
        <f t="array" ref="L28">K28-MIN(IF(K19:K31&gt;0,(K19:K31)))</f>
        <v>-2623.9640000000049</v>
      </c>
      <c r="M28" s="124">
        <f t="shared" si="2"/>
        <v>0</v>
      </c>
      <c r="N28" s="124">
        <f t="shared" si="3"/>
        <v>0</v>
      </c>
      <c r="O28" s="258">
        <f t="shared" si="4"/>
        <v>-8</v>
      </c>
    </row>
    <row r="29" spans="1:16" ht="20" customHeight="1" x14ac:dyDescent="0.15">
      <c r="A29" s="257">
        <v>11</v>
      </c>
      <c r="B29" s="34">
        <f>Sammanställning!B19</f>
        <v>0</v>
      </c>
      <c r="C29" s="39"/>
      <c r="D29" s="40"/>
      <c r="E29" s="129">
        <f>Sammanställning!C19</f>
        <v>0</v>
      </c>
      <c r="F29" s="206"/>
      <c r="G29" s="46"/>
      <c r="H29" s="211"/>
      <c r="I29" s="122"/>
      <c r="J29" s="34">
        <f t="shared" si="0"/>
        <v>0</v>
      </c>
      <c r="K29" s="34">
        <f t="shared" si="1"/>
        <v>0</v>
      </c>
      <c r="L29" s="34">
        <f t="array" ref="L29">K29-MIN(IF(K19:K31&gt;0,(K19:K31)))</f>
        <v>-2623.9640000000049</v>
      </c>
      <c r="M29" s="124">
        <f t="shared" si="2"/>
        <v>0</v>
      </c>
      <c r="N29" s="124">
        <f t="shared" si="3"/>
        <v>0</v>
      </c>
      <c r="O29" s="258">
        <f t="shared" si="4"/>
        <v>-8</v>
      </c>
    </row>
    <row r="30" spans="1:16" ht="20" customHeight="1" thickBot="1" x14ac:dyDescent="0.2">
      <c r="A30" s="259">
        <v>12</v>
      </c>
      <c r="B30" s="216">
        <f>Sammanställning!B20</f>
        <v>0</v>
      </c>
      <c r="C30" s="260"/>
      <c r="D30" s="261"/>
      <c r="E30" s="262">
        <f>Sammanställning!C20</f>
        <v>0</v>
      </c>
      <c r="F30" s="277"/>
      <c r="G30" s="264"/>
      <c r="H30" s="278"/>
      <c r="I30" s="266"/>
      <c r="J30" s="216">
        <f t="shared" si="0"/>
        <v>0</v>
      </c>
      <c r="K30" s="216">
        <f t="shared" si="1"/>
        <v>0</v>
      </c>
      <c r="L30" s="216">
        <f t="array" ref="L30">K30-MIN(IF(K19:K31&gt;0,(K19:K31)))</f>
        <v>-2623.9640000000049</v>
      </c>
      <c r="M30" s="268">
        <f t="shared" si="2"/>
        <v>0</v>
      </c>
      <c r="N30" s="268">
        <f t="shared" si="3"/>
        <v>0</v>
      </c>
      <c r="O30" s="269">
        <f t="shared" si="4"/>
        <v>-8</v>
      </c>
    </row>
    <row r="31" spans="1:16" ht="20" customHeight="1" thickBot="1" x14ac:dyDescent="0.2">
      <c r="A31" s="21">
        <v>13</v>
      </c>
      <c r="B31" s="239">
        <f>Sammanställning!B21</f>
        <v>0</v>
      </c>
      <c r="C31" s="240"/>
      <c r="D31" s="240"/>
      <c r="E31" s="241">
        <f>Sammanställning!C21</f>
        <v>0</v>
      </c>
      <c r="F31" s="272"/>
      <c r="G31" s="24"/>
      <c r="H31" s="243"/>
      <c r="I31" s="243"/>
      <c r="J31" s="239">
        <f t="shared" si="0"/>
        <v>0</v>
      </c>
      <c r="K31" s="239">
        <f t="shared" si="1"/>
        <v>0</v>
      </c>
      <c r="L31" s="239">
        <f t="array" ref="L31">K31-MIN(IF(K19:K31&gt;0,(K19:K31)))</f>
        <v>-2623.9640000000049</v>
      </c>
      <c r="M31" s="245">
        <f t="shared" si="2"/>
        <v>0</v>
      </c>
      <c r="N31" s="245">
        <f t="shared" si="3"/>
        <v>0</v>
      </c>
      <c r="O31" s="246">
        <f t="shared" si="4"/>
        <v>-8</v>
      </c>
    </row>
  </sheetData>
  <sheetProtection selectLockedCells="1" selectUnlockedCells="1"/>
  <mergeCells count="8">
    <mergeCell ref="C10:D10"/>
    <mergeCell ref="C5:D5"/>
    <mergeCell ref="C6:D6"/>
    <mergeCell ref="L6:O6"/>
    <mergeCell ref="C7:D7"/>
    <mergeCell ref="L7:N7"/>
    <mergeCell ref="C8:D8"/>
    <mergeCell ref="L8:O8"/>
  </mergeCells>
  <phoneticPr fontId="12" type="noConversion"/>
  <printOptions horizontalCentered="1"/>
  <pageMargins left="0" right="0" top="0.19652777777777777" bottom="0.19652777777777777" header="0.51180555555555551" footer="0.51180555555555551"/>
  <pageSetup paperSize="9" firstPageNumber="0" orientation="landscape" horizontalDpi="4294967293" verticalDpi="4294967293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0F7F1-2D9E-894E-8CD0-147C7FD28109}">
  <sheetPr codeName="Blad7"/>
  <dimension ref="A1:O31"/>
  <sheetViews>
    <sheetView zoomScale="87" zoomScaleNormal="87" workbookViewId="0">
      <selection activeCell="H26" sqref="H26"/>
    </sheetView>
  </sheetViews>
  <sheetFormatPr baseColWidth="10" defaultColWidth="9.25" defaultRowHeight="13" x14ac:dyDescent="0.15"/>
  <cols>
    <col min="1" max="1" width="6.75" style="1" customWidth="1"/>
    <col min="2" max="2" width="28.5" style="1" customWidth="1"/>
    <col min="3" max="3" width="27" style="1" customWidth="1"/>
    <col min="4" max="4" width="9.75" style="1" customWidth="1"/>
    <col min="5" max="5" width="16.75" style="2" customWidth="1"/>
    <col min="6" max="6" width="9.5" style="1" customWidth="1"/>
    <col min="7" max="7" width="9" style="1" customWidth="1"/>
    <col min="8" max="8" width="12.5" style="1" customWidth="1"/>
    <col min="9" max="9" width="16.25" style="1" customWidth="1"/>
    <col min="10" max="10" width="12.5" style="1" customWidth="1"/>
    <col min="11" max="11" width="13" style="1" customWidth="1"/>
    <col min="12" max="14" width="8.75" style="1" customWidth="1"/>
    <col min="15" max="15" width="10" style="1" customWidth="1"/>
    <col min="16" max="16" width="7.75" style="1" customWidth="1"/>
    <col min="17" max="17" width="6.75" style="1" customWidth="1"/>
    <col min="18" max="16384" width="9.25" style="1"/>
  </cols>
  <sheetData>
    <row r="1" spans="1:15" ht="8" customHeight="1" x14ac:dyDescent="0.15"/>
    <row r="2" spans="1:15" ht="25" customHeight="1" x14ac:dyDescent="0.25">
      <c r="A2" s="3"/>
      <c r="G2" s="4" t="str">
        <f>Sammanställning!G2</f>
        <v>HSS Torsdagscup 2026</v>
      </c>
      <c r="H2" s="5"/>
      <c r="I2" s="5"/>
    </row>
    <row r="3" spans="1:15" ht="17" customHeight="1" x14ac:dyDescent="0.2">
      <c r="G3" s="6" t="s">
        <v>78</v>
      </c>
      <c r="H3" s="5"/>
      <c r="I3" s="5"/>
      <c r="J3" s="5"/>
    </row>
    <row r="4" spans="1:15" ht="7" customHeight="1" x14ac:dyDescent="0.2">
      <c r="A4" s="3"/>
    </row>
    <row r="5" spans="1:15" ht="20" customHeight="1" x14ac:dyDescent="0.15">
      <c r="A5" s="62" t="s">
        <v>26</v>
      </c>
      <c r="B5" s="63"/>
      <c r="C5" s="325">
        <v>5</v>
      </c>
      <c r="D5" s="325"/>
      <c r="E5" s="64" t="s">
        <v>27</v>
      </c>
      <c r="F5" s="65"/>
      <c r="G5" s="66"/>
      <c r="H5" s="67" t="s">
        <v>189</v>
      </c>
      <c r="I5" s="68"/>
      <c r="K5" s="69" t="s">
        <v>28</v>
      </c>
      <c r="L5" s="70"/>
      <c r="M5" s="70"/>
      <c r="N5" s="70"/>
      <c r="O5" s="71"/>
    </row>
    <row r="6" spans="1:15" ht="20" customHeight="1" x14ac:dyDescent="0.15">
      <c r="A6" s="72" t="s">
        <v>29</v>
      </c>
      <c r="B6" s="73"/>
      <c r="C6" s="326" t="s">
        <v>161</v>
      </c>
      <c r="D6" s="326"/>
      <c r="E6" s="74" t="s">
        <v>30</v>
      </c>
      <c r="F6" s="75"/>
      <c r="G6" s="76"/>
      <c r="H6" s="77">
        <v>2.3199999999999998</v>
      </c>
      <c r="I6" s="78" t="s">
        <v>31</v>
      </c>
      <c r="K6" s="79" t="s">
        <v>32</v>
      </c>
      <c r="L6" s="333" t="s">
        <v>190</v>
      </c>
      <c r="M6" s="333"/>
      <c r="N6" s="333"/>
      <c r="O6" s="333"/>
    </row>
    <row r="7" spans="1:15" ht="20" customHeight="1" x14ac:dyDescent="0.15">
      <c r="A7" s="80" t="s">
        <v>33</v>
      </c>
      <c r="B7" s="81"/>
      <c r="C7" s="328">
        <v>46198</v>
      </c>
      <c r="D7" s="328"/>
      <c r="E7" s="82" t="s">
        <v>34</v>
      </c>
      <c r="F7" s="83"/>
      <c r="G7" s="66" t="s">
        <v>35</v>
      </c>
      <c r="H7" s="65"/>
      <c r="I7" s="84" t="s">
        <v>36</v>
      </c>
      <c r="K7" s="85" t="s">
        <v>37</v>
      </c>
      <c r="L7" s="332" t="s">
        <v>191</v>
      </c>
      <c r="M7" s="332"/>
      <c r="N7" s="332"/>
      <c r="O7" s="86" t="s">
        <v>38</v>
      </c>
    </row>
    <row r="8" spans="1:15" ht="20" customHeight="1" x14ac:dyDescent="0.15">
      <c r="A8" s="87" t="s">
        <v>39</v>
      </c>
      <c r="B8" s="88"/>
      <c r="C8" s="330">
        <v>0.76736111111111116</v>
      </c>
      <c r="D8" s="330"/>
      <c r="E8" s="89" t="s">
        <v>40</v>
      </c>
      <c r="G8" s="90"/>
      <c r="H8" s="91"/>
      <c r="I8" s="92"/>
      <c r="K8" s="93" t="s">
        <v>41</v>
      </c>
      <c r="L8" s="334" t="s">
        <v>192</v>
      </c>
      <c r="M8" s="334"/>
      <c r="N8" s="334"/>
      <c r="O8" s="334"/>
    </row>
    <row r="9" spans="1:15" ht="14" customHeight="1" x14ac:dyDescent="0.15">
      <c r="C9" s="5"/>
      <c r="D9" s="58"/>
      <c r="E9" s="94"/>
      <c r="G9" s="90"/>
      <c r="H9" s="91"/>
      <c r="I9" s="92"/>
      <c r="K9" s="62" t="s">
        <v>42</v>
      </c>
      <c r="L9" s="65"/>
      <c r="M9" s="95"/>
      <c r="N9" s="95"/>
      <c r="O9" s="96"/>
    </row>
    <row r="10" spans="1:15" ht="20" customHeight="1" x14ac:dyDescent="0.15">
      <c r="A10" s="69" t="s">
        <v>43</v>
      </c>
      <c r="B10" s="70"/>
      <c r="C10" s="324" t="s">
        <v>167</v>
      </c>
      <c r="D10" s="324"/>
      <c r="E10" s="94"/>
      <c r="G10" s="90" t="s">
        <v>44</v>
      </c>
      <c r="H10" s="91"/>
      <c r="I10" s="92" t="s">
        <v>45</v>
      </c>
      <c r="K10" s="97"/>
      <c r="L10" s="98" t="s">
        <v>46</v>
      </c>
      <c r="M10" s="99" t="s">
        <v>47</v>
      </c>
      <c r="N10" s="98" t="s">
        <v>48</v>
      </c>
      <c r="O10" s="100" t="s">
        <v>49</v>
      </c>
    </row>
    <row r="11" spans="1:15" ht="20" customHeight="1" x14ac:dyDescent="0.15">
      <c r="E11" s="94"/>
      <c r="G11" s="101" t="s">
        <v>50</v>
      </c>
      <c r="H11" s="102"/>
      <c r="I11" s="103" t="s">
        <v>51</v>
      </c>
      <c r="K11" s="104"/>
      <c r="L11" s="27" t="s">
        <v>52</v>
      </c>
      <c r="M11" s="22" t="s">
        <v>67</v>
      </c>
      <c r="N11" s="27" t="s">
        <v>52</v>
      </c>
      <c r="O11" s="105" t="s">
        <v>67</v>
      </c>
    </row>
    <row r="12" spans="1:15" ht="20" customHeight="1" x14ac:dyDescent="0.15">
      <c r="E12" s="94"/>
      <c r="G12" s="101" t="s">
        <v>53</v>
      </c>
      <c r="H12" s="102"/>
      <c r="I12" s="103" t="s">
        <v>54</v>
      </c>
      <c r="K12" s="72" t="s">
        <v>55</v>
      </c>
      <c r="L12" s="106">
        <f>IF(COUNTA($F$19:$F$31)&gt;0,M12*AVERAGE($F$19:$F$31),0)</f>
        <v>0</v>
      </c>
      <c r="M12" s="107"/>
      <c r="N12" s="108">
        <f>IF(COUNTA($F$19:$F$31)&gt;0,O12/AVERAGE($F$19:$F$31),0)</f>
        <v>0</v>
      </c>
      <c r="O12" s="109">
        <f>IF(ISBLANK(M12),0,H6/M12*60)</f>
        <v>0</v>
      </c>
    </row>
    <row r="13" spans="1:15" ht="20" customHeight="1" x14ac:dyDescent="0.15">
      <c r="D13" s="110"/>
      <c r="E13" s="111"/>
      <c r="F13" s="75"/>
      <c r="G13" s="112" t="s">
        <v>133</v>
      </c>
      <c r="H13" s="113"/>
      <c r="I13" s="114" t="s">
        <v>134</v>
      </c>
      <c r="K13" s="87" t="s">
        <v>56</v>
      </c>
      <c r="L13" s="115">
        <f>IF(SUM(M19:M31)&gt;0,SUMIF(M19:M31,"&gt;0",M19:M31)/COUNTIF(M19:M31,"&gt;0"),0)</f>
        <v>4.1298507408093057</v>
      </c>
      <c r="M13" s="115">
        <f>IF(SUM(M19:M31)&gt;0,SUMIF(N19:N31,"&gt;0",N19:N31)/COUNTIF(N19:N31,"&gt;0"),0)</f>
        <v>4.9099404965183329</v>
      </c>
      <c r="N13" s="53">
        <f>IF(SUM(M19:M31)&gt;0,SUMIF(J19:J31,"&gt;0",J19:J31)/COUNTIF(J19:J31,"&gt;0")/60,0)</f>
        <v>33.949999999999939</v>
      </c>
      <c r="O13" s="116">
        <f>IF(SUM(M19:M31)&gt;0,SUMIF(K19:K31,"&gt;0",K19:K31)/COUNTIF(K19:K31,"&gt;0")/60,0)</f>
        <v>28.384604761904715</v>
      </c>
    </row>
    <row r="14" spans="1:15" ht="10" customHeight="1" x14ac:dyDescent="0.15"/>
    <row r="15" spans="1:15" ht="20" customHeight="1" x14ac:dyDescent="0.15">
      <c r="A15" s="8" t="s">
        <v>1</v>
      </c>
      <c r="B15" s="9" t="s">
        <v>2</v>
      </c>
      <c r="C15" s="11" t="s">
        <v>57</v>
      </c>
      <c r="D15" s="11" t="s">
        <v>58</v>
      </c>
      <c r="E15" s="11" t="s">
        <v>3</v>
      </c>
      <c r="F15" s="11" t="s">
        <v>59</v>
      </c>
      <c r="G15" s="11" t="s">
        <v>60</v>
      </c>
      <c r="H15" s="11" t="s">
        <v>61</v>
      </c>
      <c r="I15" s="11" t="s">
        <v>62</v>
      </c>
      <c r="J15" s="11" t="s">
        <v>63</v>
      </c>
      <c r="K15" s="11" t="s">
        <v>64</v>
      </c>
      <c r="L15" s="11" t="s">
        <v>65</v>
      </c>
      <c r="M15" s="11" t="s">
        <v>46</v>
      </c>
      <c r="N15" s="11" t="s">
        <v>46</v>
      </c>
      <c r="O15" s="14" t="s">
        <v>66</v>
      </c>
    </row>
    <row r="16" spans="1:15" ht="20" customHeight="1" x14ac:dyDescent="0.15">
      <c r="A16" s="117"/>
      <c r="B16" s="16"/>
      <c r="C16" s="18"/>
      <c r="D16" s="18"/>
      <c r="E16" s="17"/>
      <c r="F16" s="18" t="s">
        <v>67</v>
      </c>
      <c r="G16" s="18" t="s">
        <v>68</v>
      </c>
      <c r="H16" s="18"/>
      <c r="I16" s="18"/>
      <c r="J16" s="18" t="s">
        <v>48</v>
      </c>
      <c r="K16" s="18" t="s">
        <v>69</v>
      </c>
      <c r="L16" s="18" t="s">
        <v>70</v>
      </c>
      <c r="M16" s="18" t="s">
        <v>71</v>
      </c>
      <c r="N16" s="18" t="s">
        <v>71</v>
      </c>
      <c r="O16" s="20"/>
    </row>
    <row r="17" spans="1:15" ht="20" customHeight="1" x14ac:dyDescent="0.15">
      <c r="A17" s="117"/>
      <c r="B17" s="16"/>
      <c r="C17" s="18"/>
      <c r="D17" s="18"/>
      <c r="E17" s="17"/>
      <c r="F17" s="18"/>
      <c r="G17" s="118"/>
      <c r="H17" s="18"/>
      <c r="I17" s="18"/>
      <c r="J17" s="18"/>
      <c r="K17" s="18" t="s">
        <v>48</v>
      </c>
      <c r="L17" s="18"/>
      <c r="M17" s="18" t="s">
        <v>52</v>
      </c>
      <c r="N17" s="18" t="s">
        <v>67</v>
      </c>
      <c r="O17" s="20"/>
    </row>
    <row r="18" spans="1:15" ht="20" customHeight="1" thickBot="1" x14ac:dyDescent="0.2">
      <c r="A18" s="117"/>
      <c r="B18" s="16"/>
      <c r="C18" s="18"/>
      <c r="D18" s="18"/>
      <c r="E18" s="17"/>
      <c r="F18" s="18"/>
      <c r="G18" s="118" t="s">
        <v>72</v>
      </c>
      <c r="H18" s="118" t="s">
        <v>73</v>
      </c>
      <c r="I18" s="118" t="s">
        <v>73</v>
      </c>
      <c r="J18" s="118" t="s">
        <v>74</v>
      </c>
      <c r="K18" s="118" t="s">
        <v>74</v>
      </c>
      <c r="L18" s="118" t="s">
        <v>74</v>
      </c>
      <c r="M18" s="118" t="s">
        <v>47</v>
      </c>
      <c r="N18" s="118" t="s">
        <v>47</v>
      </c>
      <c r="O18" s="20"/>
    </row>
    <row r="19" spans="1:15" ht="20" customHeight="1" x14ac:dyDescent="0.15">
      <c r="A19" s="247">
        <v>1</v>
      </c>
      <c r="B19" s="253" t="str">
        <f>Sammanställning!B9</f>
        <v>Staffan Kerker</v>
      </c>
      <c r="C19" s="248" t="s">
        <v>160</v>
      </c>
      <c r="D19" s="298"/>
      <c r="E19" s="275">
        <f>Sammanställning!C9</f>
        <v>707</v>
      </c>
      <c r="F19" s="276">
        <v>0.86799999999999999</v>
      </c>
      <c r="G19" s="251">
        <v>7</v>
      </c>
      <c r="H19" s="252">
        <v>0.77222222222222225</v>
      </c>
      <c r="I19" s="252">
        <v>0.79438657407407409</v>
      </c>
      <c r="J19" s="253">
        <f t="shared" ref="J19:J31" si="0">IF(I19&gt;0,(I19-H19)*24*3600,0)</f>
        <v>1914.9999999999989</v>
      </c>
      <c r="K19" s="253">
        <f t="shared" ref="K19:K31" si="1">J19*F19</f>
        <v>1662.2199999999989</v>
      </c>
      <c r="L19" s="253">
        <f t="array" ref="L19">K19-MIN(IF(K19:K31&gt;0,(K19:K31)))</f>
        <v>41.663999999998168</v>
      </c>
      <c r="M19" s="255">
        <f t="shared" ref="M19:M31" si="2">IF(J19&gt;0,$H$6/J19*3600,0)</f>
        <v>4.3613577023498715</v>
      </c>
      <c r="N19" s="255">
        <f t="shared" ref="N19:N31" si="3">IF(K19&gt;0,M19/F19,0)</f>
        <v>5.0246056478685155</v>
      </c>
      <c r="O19" s="256">
        <f t="shared" ref="O19:O31" si="4">RANK(K19,$K$19:$K$31,1)-COUNTIF($K$19:$K$31,0)</f>
        <v>3</v>
      </c>
    </row>
    <row r="20" spans="1:15" ht="20" customHeight="1" x14ac:dyDescent="0.15">
      <c r="A20" s="257">
        <v>2</v>
      </c>
      <c r="B20" s="34" t="str">
        <f>Sammanställning!B10</f>
        <v>Jan-Erik Jonsson</v>
      </c>
      <c r="C20" s="39" t="s">
        <v>193</v>
      </c>
      <c r="D20" s="40"/>
      <c r="E20" s="129">
        <f>Sammanställning!C10</f>
        <v>707</v>
      </c>
      <c r="F20" s="206">
        <v>0.86799999999999999</v>
      </c>
      <c r="G20" s="46">
        <v>7</v>
      </c>
      <c r="H20" s="122">
        <v>0.77222222222222225</v>
      </c>
      <c r="I20" s="122">
        <v>0.79488425925925921</v>
      </c>
      <c r="J20" s="34">
        <f t="shared" si="0"/>
        <v>1957.9999999999927</v>
      </c>
      <c r="K20" s="34">
        <f t="shared" si="1"/>
        <v>1699.5439999999937</v>
      </c>
      <c r="L20" s="34">
        <f t="array" ref="L20">K20-MIN(IF(K19:K31&gt;0,(K19:K31)))</f>
        <v>78.987999999993008</v>
      </c>
      <c r="M20" s="124">
        <f t="shared" si="2"/>
        <v>4.265577119509719</v>
      </c>
      <c r="N20" s="124">
        <f t="shared" si="3"/>
        <v>4.9142593542738702</v>
      </c>
      <c r="O20" s="258">
        <f t="shared" si="4"/>
        <v>4</v>
      </c>
    </row>
    <row r="21" spans="1:15" ht="20" customHeight="1" x14ac:dyDescent="0.15">
      <c r="A21" s="257">
        <v>3</v>
      </c>
      <c r="B21" s="34" t="str">
        <f>Sammanställning!B11</f>
        <v>Tobjörn Herbertsson</v>
      </c>
      <c r="C21" s="39" t="s">
        <v>194</v>
      </c>
      <c r="D21" s="40"/>
      <c r="E21" s="129">
        <f>Sammanställning!C11</f>
        <v>707</v>
      </c>
      <c r="F21" s="206">
        <v>0.86799999999999999</v>
      </c>
      <c r="G21" s="46">
        <v>7</v>
      </c>
      <c r="H21" s="122">
        <v>0.77222222222222225</v>
      </c>
      <c r="I21" s="122">
        <v>0.79383101851851856</v>
      </c>
      <c r="J21" s="34">
        <f t="shared" si="0"/>
        <v>1867.0000000000009</v>
      </c>
      <c r="K21" s="34">
        <f t="shared" si="1"/>
        <v>1620.5560000000007</v>
      </c>
      <c r="L21" s="34">
        <f t="array" ref="L21">K21-MIN(IF(K19:K31&gt;0,(K19:K31)))</f>
        <v>0</v>
      </c>
      <c r="M21" s="124">
        <f t="shared" si="2"/>
        <v>4.4734868773433289</v>
      </c>
      <c r="N21" s="124">
        <f t="shared" si="3"/>
        <v>5.1537867250499181</v>
      </c>
      <c r="O21" s="280">
        <f t="shared" si="4"/>
        <v>1</v>
      </c>
    </row>
    <row r="22" spans="1:15" ht="20" customHeight="1" x14ac:dyDescent="0.15">
      <c r="A22" s="257">
        <v>4</v>
      </c>
      <c r="B22" s="34" t="str">
        <f>Sammanställning!B12</f>
        <v>Urban Thim</v>
      </c>
      <c r="C22" s="39" t="s">
        <v>162</v>
      </c>
      <c r="D22" s="40"/>
      <c r="E22" s="129" t="str">
        <f>Sammanställning!C12</f>
        <v>707U</v>
      </c>
      <c r="F22" s="206">
        <v>0.86799999999999999</v>
      </c>
      <c r="G22" s="46">
        <v>7</v>
      </c>
      <c r="H22" s="122">
        <v>0.77222222222222225</v>
      </c>
      <c r="I22" s="122">
        <v>0.79424768518518518</v>
      </c>
      <c r="J22" s="34">
        <f t="shared" si="0"/>
        <v>1902.9999999999968</v>
      </c>
      <c r="K22" s="34">
        <f t="shared" si="1"/>
        <v>1651.8039999999971</v>
      </c>
      <c r="L22" s="34">
        <f t="array" ref="L22">K22-MIN(IF(K19:K31&gt;0,(K19:K31)))</f>
        <v>31.247999999996409</v>
      </c>
      <c r="M22" s="124">
        <f t="shared" si="2"/>
        <v>4.3888596952180841</v>
      </c>
      <c r="N22" s="124">
        <f t="shared" si="3"/>
        <v>5.0562899714494058</v>
      </c>
      <c r="O22" s="258">
        <f t="shared" si="4"/>
        <v>2</v>
      </c>
    </row>
    <row r="23" spans="1:15" ht="20" customHeight="1" x14ac:dyDescent="0.15">
      <c r="A23" s="257">
        <v>5</v>
      </c>
      <c r="B23" s="34" t="str">
        <f>Sammanställning!B13</f>
        <v>Lars Berglund</v>
      </c>
      <c r="C23" s="39" t="s">
        <v>163</v>
      </c>
      <c r="D23" s="127"/>
      <c r="E23" s="129" t="str">
        <f>Sammanställning!C13</f>
        <v>Maxi Magic</v>
      </c>
      <c r="F23" s="206">
        <v>0.85199999999999998</v>
      </c>
      <c r="G23" s="46">
        <v>6</v>
      </c>
      <c r="H23" s="122">
        <v>0.77152777777777781</v>
      </c>
      <c r="I23" s="122">
        <v>0.7949074074074074</v>
      </c>
      <c r="J23" s="34">
        <f t="shared" si="0"/>
        <v>2019.9999999999959</v>
      </c>
      <c r="K23" s="34">
        <f t="shared" si="1"/>
        <v>1721.0399999999966</v>
      </c>
      <c r="L23" s="34">
        <f t="array" ref="L23">K23-MIN(IF(K19:K31&gt;0,(K19:K31)))</f>
        <v>100.48399999999583</v>
      </c>
      <c r="M23" s="124">
        <f t="shared" si="2"/>
        <v>4.1346534653465428</v>
      </c>
      <c r="N23" s="124">
        <f t="shared" si="3"/>
        <v>4.8528796541626091</v>
      </c>
      <c r="O23" s="258">
        <f t="shared" si="4"/>
        <v>5</v>
      </c>
    </row>
    <row r="24" spans="1:15" ht="20" customHeight="1" x14ac:dyDescent="0.15">
      <c r="A24" s="257">
        <v>6</v>
      </c>
      <c r="B24" s="34" t="str">
        <f>Sammanställning!B14</f>
        <v>Ingmar Olsson</v>
      </c>
      <c r="C24" s="39" t="s">
        <v>195</v>
      </c>
      <c r="D24" s="127"/>
      <c r="E24" s="129" t="str">
        <f>Sammanställning!C14</f>
        <v>Avanti</v>
      </c>
      <c r="F24" s="206">
        <v>0.745</v>
      </c>
      <c r="G24" s="46">
        <v>0</v>
      </c>
      <c r="H24" s="122">
        <v>0.76736111111111116</v>
      </c>
      <c r="I24" s="122">
        <v>0.79520833333333329</v>
      </c>
      <c r="J24" s="34">
        <f t="shared" si="0"/>
        <v>2405.9999999999923</v>
      </c>
      <c r="K24" s="34">
        <f t="shared" si="1"/>
        <v>1792.4699999999943</v>
      </c>
      <c r="L24" s="34">
        <f t="array" ref="L24">K24-MIN(IF(K19:K31&gt;0,(K19:K31)))</f>
        <v>171.91399999999362</v>
      </c>
      <c r="M24" s="124">
        <f t="shared" si="2"/>
        <v>3.4713216957606092</v>
      </c>
      <c r="N24" s="124">
        <f t="shared" si="3"/>
        <v>4.6594922090746431</v>
      </c>
      <c r="O24" s="258">
        <f t="shared" si="4"/>
        <v>7</v>
      </c>
    </row>
    <row r="25" spans="1:15" ht="20" customHeight="1" x14ac:dyDescent="0.15">
      <c r="A25" s="257">
        <v>7</v>
      </c>
      <c r="B25" s="34" t="str">
        <f>Sammanställning!B15</f>
        <v>Erik Andersson</v>
      </c>
      <c r="C25" s="210"/>
      <c r="D25" s="40"/>
      <c r="E25" s="129" t="str">
        <f>Sammanställning!C15</f>
        <v>Elan 210</v>
      </c>
      <c r="F25" s="206">
        <v>0.81</v>
      </c>
      <c r="G25" s="46">
        <v>3</v>
      </c>
      <c r="H25" s="122">
        <v>0.76944444444444449</v>
      </c>
      <c r="I25" s="122">
        <v>0.79479166666666667</v>
      </c>
      <c r="J25" s="34">
        <f t="shared" si="0"/>
        <v>2189.9999999999968</v>
      </c>
      <c r="K25" s="34">
        <f t="shared" si="1"/>
        <v>1773.8999999999976</v>
      </c>
      <c r="L25" s="34">
        <f t="array" ref="L25">K25-MIN(IF(K19:K31&gt;0,(K19:K31)))</f>
        <v>153.34399999999687</v>
      </c>
      <c r="M25" s="124">
        <f t="shared" si="2"/>
        <v>3.8136986301369911</v>
      </c>
      <c r="N25" s="124">
        <f t="shared" si="3"/>
        <v>4.7082699137493718</v>
      </c>
      <c r="O25" s="258">
        <f t="shared" si="4"/>
        <v>6</v>
      </c>
    </row>
    <row r="26" spans="1:15" ht="20" customHeight="1" x14ac:dyDescent="0.15">
      <c r="A26" s="257">
        <v>8</v>
      </c>
      <c r="B26" s="34" t="str">
        <f>Sammanställning!B16</f>
        <v>Magnus Nilsson</v>
      </c>
      <c r="C26" s="39"/>
      <c r="D26" s="40"/>
      <c r="E26" s="129" t="str">
        <f>Sammanställning!C16</f>
        <v>Viggen</v>
      </c>
      <c r="F26" s="206"/>
      <c r="G26" s="46"/>
      <c r="H26" s="211" t="s">
        <v>178</v>
      </c>
      <c r="I26" s="122"/>
      <c r="J26" s="34">
        <f t="shared" si="0"/>
        <v>0</v>
      </c>
      <c r="K26" s="34">
        <f t="shared" si="1"/>
        <v>0</v>
      </c>
      <c r="L26" s="34">
        <f t="array" ref="L26">K26-MIN(IF(K19:K31&gt;0,(K19:K31)))</f>
        <v>-1620.5560000000007</v>
      </c>
      <c r="M26" s="124">
        <f t="shared" si="2"/>
        <v>0</v>
      </c>
      <c r="N26" s="124">
        <f t="shared" si="3"/>
        <v>0</v>
      </c>
      <c r="O26" s="281">
        <v>8</v>
      </c>
    </row>
    <row r="27" spans="1:15" ht="20" customHeight="1" x14ac:dyDescent="0.15">
      <c r="A27" s="257">
        <v>9</v>
      </c>
      <c r="B27" s="34">
        <f>Sammanställning!B17</f>
        <v>0</v>
      </c>
      <c r="C27" s="128"/>
      <c r="D27" s="40"/>
      <c r="E27" s="129">
        <f>Sammanställning!C17</f>
        <v>0</v>
      </c>
      <c r="F27" s="206"/>
      <c r="G27" s="46"/>
      <c r="H27" s="211"/>
      <c r="I27" s="122"/>
      <c r="J27" s="34">
        <f t="shared" si="0"/>
        <v>0</v>
      </c>
      <c r="K27" s="34">
        <f t="shared" si="1"/>
        <v>0</v>
      </c>
      <c r="L27" s="34">
        <f t="array" ref="L27">K27-MIN(IF(K19:K31&gt;0,(K19:K31)))</f>
        <v>-1620.5560000000007</v>
      </c>
      <c r="M27" s="124">
        <f t="shared" si="2"/>
        <v>0</v>
      </c>
      <c r="N27" s="124">
        <f t="shared" si="3"/>
        <v>0</v>
      </c>
      <c r="O27" s="258">
        <f t="shared" si="4"/>
        <v>-5</v>
      </c>
    </row>
    <row r="28" spans="1:15" ht="20" customHeight="1" x14ac:dyDescent="0.15">
      <c r="A28" s="299">
        <v>10</v>
      </c>
      <c r="B28" s="300">
        <f>Sammanställning!B18</f>
        <v>0</v>
      </c>
      <c r="C28" s="301"/>
      <c r="D28" s="302"/>
      <c r="E28" s="303">
        <f>Sammanställning!C18</f>
        <v>0</v>
      </c>
      <c r="F28" s="304"/>
      <c r="G28" s="305"/>
      <c r="H28" s="306"/>
      <c r="I28" s="307"/>
      <c r="J28" s="300">
        <f t="shared" si="0"/>
        <v>0</v>
      </c>
      <c r="K28" s="300">
        <f t="shared" si="1"/>
        <v>0</v>
      </c>
      <c r="L28" s="300">
        <f t="array" ref="L28">K28-MIN(IF(K19:K31&gt;0,(K19:K31)))</f>
        <v>-1620.5560000000007</v>
      </c>
      <c r="M28" s="308">
        <f t="shared" si="2"/>
        <v>0</v>
      </c>
      <c r="N28" s="308">
        <f t="shared" si="3"/>
        <v>0</v>
      </c>
      <c r="O28" s="309">
        <f t="shared" si="4"/>
        <v>-5</v>
      </c>
    </row>
    <row r="29" spans="1:15" ht="20" customHeight="1" x14ac:dyDescent="0.15">
      <c r="A29" s="310">
        <v>11</v>
      </c>
      <c r="B29" s="108">
        <f>Sammanställning!B19</f>
        <v>0</v>
      </c>
      <c r="C29" s="291"/>
      <c r="D29" s="292"/>
      <c r="E29" s="293">
        <f>Sammanställning!C19</f>
        <v>0</v>
      </c>
      <c r="F29" s="294"/>
      <c r="G29" s="295"/>
      <c r="H29" s="296"/>
      <c r="I29" s="296"/>
      <c r="J29" s="108">
        <f t="shared" si="0"/>
        <v>0</v>
      </c>
      <c r="K29" s="108">
        <f t="shared" si="1"/>
        <v>0</v>
      </c>
      <c r="L29" s="108">
        <f t="array" ref="L29">K29-MIN(IF(K19:K31&gt;0,(K19:K31)))</f>
        <v>-1620.5560000000007</v>
      </c>
      <c r="M29" s="297">
        <f t="shared" si="2"/>
        <v>0</v>
      </c>
      <c r="N29" s="297">
        <f t="shared" si="3"/>
        <v>0</v>
      </c>
      <c r="O29" s="311">
        <f t="shared" si="4"/>
        <v>-5</v>
      </c>
    </row>
    <row r="30" spans="1:15" ht="20" customHeight="1" thickBot="1" x14ac:dyDescent="0.2">
      <c r="A30" s="259">
        <v>12</v>
      </c>
      <c r="B30" s="216">
        <f>Sammanställning!B20</f>
        <v>0</v>
      </c>
      <c r="C30" s="260"/>
      <c r="D30" s="261"/>
      <c r="E30" s="262">
        <f>Sammanställning!C20</f>
        <v>0</v>
      </c>
      <c r="F30" s="277"/>
      <c r="G30" s="264"/>
      <c r="H30" s="266"/>
      <c r="I30" s="266"/>
      <c r="J30" s="216">
        <f t="shared" si="0"/>
        <v>0</v>
      </c>
      <c r="K30" s="216">
        <f t="shared" si="1"/>
        <v>0</v>
      </c>
      <c r="L30" s="216">
        <f t="array" ref="L30">K30-MIN(IF(K19:K31&gt;0,(K19:K31)))</f>
        <v>-1620.5560000000007</v>
      </c>
      <c r="M30" s="268">
        <f t="shared" si="2"/>
        <v>0</v>
      </c>
      <c r="N30" s="268">
        <f t="shared" si="3"/>
        <v>0</v>
      </c>
      <c r="O30" s="269">
        <f t="shared" si="4"/>
        <v>-5</v>
      </c>
    </row>
    <row r="31" spans="1:15" ht="20" customHeight="1" thickBot="1" x14ac:dyDescent="0.2">
      <c r="A31" s="21">
        <v>13</v>
      </c>
      <c r="B31" s="239">
        <f>Sammanställning!B21</f>
        <v>0</v>
      </c>
      <c r="C31" s="240"/>
      <c r="D31" s="240"/>
      <c r="E31" s="241">
        <f>Sammanställning!C21</f>
        <v>0</v>
      </c>
      <c r="F31" s="272"/>
      <c r="G31" s="24"/>
      <c r="H31" s="273"/>
      <c r="I31" s="243"/>
      <c r="J31" s="239">
        <f t="shared" si="0"/>
        <v>0</v>
      </c>
      <c r="K31" s="239">
        <f t="shared" si="1"/>
        <v>0</v>
      </c>
      <c r="L31" s="239">
        <f t="array" ref="L31">K31-MIN(IF(K19:K31&gt;0,(K19:K31)))</f>
        <v>-1620.5560000000007</v>
      </c>
      <c r="M31" s="245">
        <f t="shared" si="2"/>
        <v>0</v>
      </c>
      <c r="N31" s="245">
        <f t="shared" si="3"/>
        <v>0</v>
      </c>
      <c r="O31" s="246">
        <f t="shared" si="4"/>
        <v>-5</v>
      </c>
    </row>
  </sheetData>
  <sheetProtection selectLockedCells="1" selectUnlockedCells="1"/>
  <mergeCells count="8">
    <mergeCell ref="C10:D10"/>
    <mergeCell ref="C5:D5"/>
    <mergeCell ref="C6:D6"/>
    <mergeCell ref="L6:O6"/>
    <mergeCell ref="C7:D7"/>
    <mergeCell ref="L7:N7"/>
    <mergeCell ref="C8:D8"/>
    <mergeCell ref="L8:O8"/>
  </mergeCells>
  <phoneticPr fontId="12" type="noConversion"/>
  <printOptions horizontalCentered="1"/>
  <pageMargins left="0" right="0" top="0.19652777777777777" bottom="0.19652777777777777" header="0.51180555555555551" footer="0.51180555555555551"/>
  <pageSetup paperSize="9" firstPageNumber="0" orientation="landscape" horizontalDpi="300" verticalDpi="300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B151C-F8EC-974B-9052-B8A9E4CCF1A7}">
  <sheetPr codeName="Blad8"/>
  <dimension ref="A1:O31"/>
  <sheetViews>
    <sheetView zoomScale="87" zoomScaleNormal="87" workbookViewId="0">
      <selection activeCell="O19" sqref="O19"/>
    </sheetView>
  </sheetViews>
  <sheetFormatPr baseColWidth="10" defaultColWidth="9.25" defaultRowHeight="13" x14ac:dyDescent="0.15"/>
  <cols>
    <col min="1" max="1" width="6.75" style="1" customWidth="1"/>
    <col min="2" max="2" width="26.25" style="1" customWidth="1"/>
    <col min="3" max="3" width="27.75" style="1" customWidth="1"/>
    <col min="4" max="4" width="14" style="1" customWidth="1"/>
    <col min="5" max="5" width="15.25" style="1" customWidth="1"/>
    <col min="6" max="6" width="13.75" style="1" customWidth="1"/>
    <col min="7" max="7" width="9.25" style="1" customWidth="1"/>
    <col min="8" max="8" width="13.5" style="1" customWidth="1"/>
    <col min="9" max="9" width="14.25" style="1" customWidth="1"/>
    <col min="10" max="10" width="13" style="1" customWidth="1"/>
    <col min="11" max="11" width="13.5" style="1" customWidth="1"/>
    <col min="12" max="15" width="8.75" style="1" customWidth="1"/>
    <col min="16" max="16" width="7.75" style="1" customWidth="1"/>
    <col min="17" max="17" width="6.75" style="1" customWidth="1"/>
    <col min="18" max="16384" width="9.25" style="1"/>
  </cols>
  <sheetData>
    <row r="1" spans="1:15" ht="9" customHeight="1" x14ac:dyDescent="0.15"/>
    <row r="2" spans="1:15" ht="25" customHeight="1" x14ac:dyDescent="0.25">
      <c r="A2" s="3"/>
      <c r="G2" s="4" t="str">
        <f>Sammanställning!G2</f>
        <v>HSS Torsdagscup 2026</v>
      </c>
      <c r="H2" s="5"/>
      <c r="I2" s="5"/>
    </row>
    <row r="3" spans="1:15" ht="20" customHeight="1" x14ac:dyDescent="0.2">
      <c r="G3" s="6" t="s">
        <v>79</v>
      </c>
      <c r="H3" s="5"/>
      <c r="I3" s="5"/>
      <c r="J3" s="5"/>
    </row>
    <row r="4" spans="1:15" ht="6" customHeight="1" x14ac:dyDescent="0.2">
      <c r="A4" s="3"/>
    </row>
    <row r="5" spans="1:15" ht="20" customHeight="1" x14ac:dyDescent="0.15">
      <c r="A5" s="62" t="s">
        <v>26</v>
      </c>
      <c r="B5" s="63"/>
      <c r="C5" s="325">
        <v>6</v>
      </c>
      <c r="D5" s="325"/>
      <c r="E5" s="64" t="s">
        <v>27</v>
      </c>
      <c r="F5" s="65"/>
      <c r="G5" s="66"/>
      <c r="H5" s="67" t="s">
        <v>198</v>
      </c>
      <c r="I5" s="68"/>
      <c r="K5" s="69" t="s">
        <v>28</v>
      </c>
      <c r="L5" s="70"/>
      <c r="M5" s="70"/>
      <c r="N5" s="70"/>
      <c r="O5" s="71"/>
    </row>
    <row r="6" spans="1:15" ht="20" customHeight="1" x14ac:dyDescent="0.15">
      <c r="A6" s="72" t="s">
        <v>29</v>
      </c>
      <c r="B6" s="73"/>
      <c r="C6" s="326" t="s">
        <v>154</v>
      </c>
      <c r="D6" s="326"/>
      <c r="E6" s="74" t="s">
        <v>30</v>
      </c>
      <c r="F6" s="75"/>
      <c r="G6" s="76"/>
      <c r="H6" s="77">
        <v>4.0999999999999996</v>
      </c>
      <c r="I6" s="78" t="s">
        <v>31</v>
      </c>
      <c r="K6" s="79" t="s">
        <v>32</v>
      </c>
      <c r="L6" s="333" t="s">
        <v>199</v>
      </c>
      <c r="M6" s="333"/>
      <c r="N6" s="333"/>
      <c r="O6" s="333"/>
    </row>
    <row r="7" spans="1:15" ht="20" customHeight="1" x14ac:dyDescent="0.15">
      <c r="A7" s="80" t="s">
        <v>33</v>
      </c>
      <c r="B7" s="81"/>
      <c r="C7" s="328">
        <v>46240</v>
      </c>
      <c r="D7" s="328"/>
      <c r="E7" s="82" t="s">
        <v>34</v>
      </c>
      <c r="F7" s="83"/>
      <c r="G7" s="66" t="s">
        <v>35</v>
      </c>
      <c r="H7" s="65"/>
      <c r="I7" s="84" t="s">
        <v>36</v>
      </c>
      <c r="K7" s="85" t="s">
        <v>37</v>
      </c>
      <c r="L7" s="332" t="s">
        <v>200</v>
      </c>
      <c r="M7" s="332"/>
      <c r="N7" s="332"/>
      <c r="O7" s="86" t="s">
        <v>38</v>
      </c>
    </row>
    <row r="8" spans="1:15" ht="20" customHeight="1" x14ac:dyDescent="0.15">
      <c r="A8" s="87" t="s">
        <v>39</v>
      </c>
      <c r="B8" s="88"/>
      <c r="C8" s="330">
        <v>0.77083333333333337</v>
      </c>
      <c r="D8" s="330"/>
      <c r="E8" s="89" t="s">
        <v>40</v>
      </c>
      <c r="G8" s="90"/>
      <c r="H8" s="91"/>
      <c r="I8" s="92"/>
      <c r="K8" s="93" t="s">
        <v>41</v>
      </c>
      <c r="L8" s="334" t="s">
        <v>201</v>
      </c>
      <c r="M8" s="334"/>
      <c r="N8" s="334"/>
      <c r="O8" s="334"/>
    </row>
    <row r="9" spans="1:15" ht="14" customHeight="1" x14ac:dyDescent="0.15">
      <c r="C9" s="5"/>
      <c r="D9" s="58"/>
      <c r="E9" s="94"/>
      <c r="G9" s="90"/>
      <c r="H9" s="91"/>
      <c r="I9" s="92"/>
      <c r="K9" s="62" t="s">
        <v>42</v>
      </c>
      <c r="L9" s="65"/>
      <c r="M9" s="95"/>
      <c r="N9" s="95"/>
      <c r="O9" s="96"/>
    </row>
    <row r="10" spans="1:15" ht="20" customHeight="1" x14ac:dyDescent="0.15">
      <c r="A10" s="69" t="s">
        <v>43</v>
      </c>
      <c r="B10" s="70"/>
      <c r="C10" s="324" t="s">
        <v>185</v>
      </c>
      <c r="D10" s="324"/>
      <c r="E10" s="94"/>
      <c r="G10" s="90" t="s">
        <v>44</v>
      </c>
      <c r="H10" s="91"/>
      <c r="I10" s="92" t="s">
        <v>45</v>
      </c>
      <c r="K10" s="97"/>
      <c r="L10" s="98" t="s">
        <v>46</v>
      </c>
      <c r="M10" s="99" t="s">
        <v>47</v>
      </c>
      <c r="N10" s="98" t="s">
        <v>48</v>
      </c>
      <c r="O10" s="100" t="s">
        <v>49</v>
      </c>
    </row>
    <row r="11" spans="1:15" ht="20" customHeight="1" x14ac:dyDescent="0.15">
      <c r="E11" s="94"/>
      <c r="G11" s="101" t="s">
        <v>50</v>
      </c>
      <c r="H11" s="102"/>
      <c r="I11" s="103" t="s">
        <v>51</v>
      </c>
      <c r="K11" s="104"/>
      <c r="L11" s="27" t="s">
        <v>52</v>
      </c>
      <c r="M11" s="22" t="s">
        <v>9</v>
      </c>
      <c r="N11" s="27" t="s">
        <v>52</v>
      </c>
      <c r="O11" s="105" t="s">
        <v>9</v>
      </c>
    </row>
    <row r="12" spans="1:15" ht="20" customHeight="1" x14ac:dyDescent="0.15">
      <c r="E12" s="94"/>
      <c r="G12" s="101" t="s">
        <v>135</v>
      </c>
      <c r="H12" s="102"/>
      <c r="I12" s="103" t="s">
        <v>54</v>
      </c>
      <c r="K12" s="72" t="s">
        <v>55</v>
      </c>
      <c r="L12" s="106">
        <f>IF(COUNTA($F$19:$F$31)&gt;0,M12*AVERAGE($F$19:$F$31),0)</f>
        <v>0</v>
      </c>
      <c r="M12" s="107"/>
      <c r="N12" s="108">
        <f>IF(COUNTA($F$19:$F$31)&gt;0,O12/AVERAGE($F$19:$F$31),0)</f>
        <v>0</v>
      </c>
      <c r="O12" s="109">
        <f>IF(ISBLANK(M12),0,H6/M12*60)</f>
        <v>0</v>
      </c>
    </row>
    <row r="13" spans="1:15" ht="20" customHeight="1" thickBot="1" x14ac:dyDescent="0.2">
      <c r="D13" s="110"/>
      <c r="E13" s="111"/>
      <c r="F13" s="75"/>
      <c r="G13" s="112" t="s">
        <v>133</v>
      </c>
      <c r="H13" s="113"/>
      <c r="I13" s="114" t="s">
        <v>134</v>
      </c>
      <c r="K13" s="87" t="s">
        <v>56</v>
      </c>
      <c r="L13" s="115">
        <f>IF(SUM(M19:M31)&gt;0,SUMIF(M19:M31,"&gt;0",M19:M31)/COUNTIF(M19:M31,"&gt;0"),0)</f>
        <v>5.2128812196840792</v>
      </c>
      <c r="M13" s="115">
        <f>IF(SUM(M19:M31)&gt;0,SUMIF(N19:N31,"&gt;0",N19:N31)/COUNTIF(N19:N31,"&gt;0"),0)</f>
        <v>6.2916241049937272</v>
      </c>
      <c r="N13" s="53">
        <f>IF(SUM(M19:M31)&gt;0,SUMIF(J19:J31,"&gt;0",J19:J31)/COUNTIF(J19:J31,"&gt;0")/60,0)</f>
        <v>47.333333333333222</v>
      </c>
      <c r="O13" s="116">
        <f>IF(SUM(M19:M31)&gt;0,SUMIF(K19:K31,"&gt;0",K19:K31)/COUNTIF(K19:K31,"&gt;0")/60,0)</f>
        <v>39.111822222222123</v>
      </c>
    </row>
    <row r="14" spans="1:15" ht="10" customHeight="1" thickBot="1" x14ac:dyDescent="0.2"/>
    <row r="15" spans="1:15" ht="20" customHeight="1" x14ac:dyDescent="0.15">
      <c r="A15" s="8" t="s">
        <v>1</v>
      </c>
      <c r="B15" s="9" t="s">
        <v>2</v>
      </c>
      <c r="C15" s="11" t="s">
        <v>57</v>
      </c>
      <c r="D15" s="11" t="s">
        <v>58</v>
      </c>
      <c r="E15" s="11" t="s">
        <v>3</v>
      </c>
      <c r="F15" s="11" t="s">
        <v>59</v>
      </c>
      <c r="G15" s="11" t="s">
        <v>60</v>
      </c>
      <c r="H15" s="11" t="s">
        <v>61</v>
      </c>
      <c r="I15" s="11" t="s">
        <v>62</v>
      </c>
      <c r="J15" s="11" t="s">
        <v>63</v>
      </c>
      <c r="K15" s="11" t="s">
        <v>64</v>
      </c>
      <c r="L15" s="11" t="s">
        <v>65</v>
      </c>
      <c r="M15" s="11" t="s">
        <v>46</v>
      </c>
      <c r="N15" s="11" t="s">
        <v>46</v>
      </c>
      <c r="O15" s="14" t="s">
        <v>66</v>
      </c>
    </row>
    <row r="16" spans="1:15" ht="20" customHeight="1" x14ac:dyDescent="0.15">
      <c r="A16" s="117"/>
      <c r="B16" s="16"/>
      <c r="C16" s="18"/>
      <c r="D16" s="18"/>
      <c r="E16" s="17"/>
      <c r="F16" s="18" t="s">
        <v>67</v>
      </c>
      <c r="G16" s="18" t="s">
        <v>68</v>
      </c>
      <c r="H16" s="18"/>
      <c r="I16" s="18"/>
      <c r="J16" s="18" t="s">
        <v>48</v>
      </c>
      <c r="K16" s="18" t="s">
        <v>69</v>
      </c>
      <c r="L16" s="18" t="s">
        <v>70</v>
      </c>
      <c r="M16" s="18" t="s">
        <v>71</v>
      </c>
      <c r="N16" s="18" t="s">
        <v>71</v>
      </c>
      <c r="O16" s="20"/>
    </row>
    <row r="17" spans="1:15" ht="20" customHeight="1" x14ac:dyDescent="0.15">
      <c r="A17" s="117"/>
      <c r="B17" s="16"/>
      <c r="C17" s="18"/>
      <c r="D17" s="18"/>
      <c r="E17" s="17"/>
      <c r="F17" s="18"/>
      <c r="G17" s="118"/>
      <c r="H17" s="18"/>
      <c r="I17" s="18"/>
      <c r="J17" s="18"/>
      <c r="K17" s="18" t="s">
        <v>48</v>
      </c>
      <c r="L17" s="18"/>
      <c r="M17" s="18" t="s">
        <v>52</v>
      </c>
      <c r="N17" s="18" t="s">
        <v>9</v>
      </c>
      <c r="O17" s="20"/>
    </row>
    <row r="18" spans="1:15" ht="20" customHeight="1" thickBot="1" x14ac:dyDescent="0.2">
      <c r="A18" s="117"/>
      <c r="B18" s="16"/>
      <c r="C18" s="18"/>
      <c r="D18" s="18"/>
      <c r="E18" s="17"/>
      <c r="F18" s="18"/>
      <c r="G18" s="118" t="s">
        <v>72</v>
      </c>
      <c r="H18" s="118" t="s">
        <v>73</v>
      </c>
      <c r="I18" s="118" t="s">
        <v>73</v>
      </c>
      <c r="J18" s="118" t="s">
        <v>74</v>
      </c>
      <c r="K18" s="118" t="s">
        <v>74</v>
      </c>
      <c r="L18" s="118" t="s">
        <v>74</v>
      </c>
      <c r="M18" s="118" t="s">
        <v>47</v>
      </c>
      <c r="N18" s="118" t="s">
        <v>47</v>
      </c>
      <c r="O18" s="20"/>
    </row>
    <row r="19" spans="1:15" ht="20" customHeight="1" x14ac:dyDescent="0.15">
      <c r="A19" s="247">
        <v>1</v>
      </c>
      <c r="B19" s="253" t="str">
        <f>Sammanställning!B9</f>
        <v>Staffan Kerker</v>
      </c>
      <c r="C19" s="248" t="s">
        <v>196</v>
      </c>
      <c r="D19" s="249"/>
      <c r="E19" s="275">
        <f>Sammanställning!C9</f>
        <v>707</v>
      </c>
      <c r="F19" s="276">
        <v>0.86799999999999999</v>
      </c>
      <c r="G19" s="251"/>
      <c r="H19" s="252">
        <v>0.77083333333333337</v>
      </c>
      <c r="I19" s="252">
        <v>0.80159722222222218</v>
      </c>
      <c r="J19" s="253">
        <f t="shared" ref="J19:J31" si="0">IF(I19&gt;0,(I19-H19)*24*3600,0)</f>
        <v>2657.9999999999936</v>
      </c>
      <c r="K19" s="253">
        <f t="shared" ref="K19:K31" si="1">J19*F19</f>
        <v>2307.1439999999943</v>
      </c>
      <c r="L19" s="253">
        <f t="array" ref="L19">K19-MIN(IF(K19:K31&gt;0,(K19:K31)))</f>
        <v>0</v>
      </c>
      <c r="M19" s="255">
        <f t="shared" ref="M19:M31" si="2">IF(J19&gt;0,$H$6/J19*3600,0)</f>
        <v>5.5530474040632178</v>
      </c>
      <c r="N19" s="255">
        <f t="shared" ref="N19:N31" si="3">IF(K19&gt;0,M19/F19,0)</f>
        <v>6.3975200507640757</v>
      </c>
      <c r="O19" s="314">
        <f t="shared" ref="O19:O31" si="4">RANK(K19,$K$19:$K$31,1)-COUNTIF($K$19:$K$31,0)</f>
        <v>1</v>
      </c>
    </row>
    <row r="20" spans="1:15" ht="20" customHeight="1" x14ac:dyDescent="0.15">
      <c r="A20" s="257">
        <v>2</v>
      </c>
      <c r="B20" s="34" t="str">
        <f>Sammanställning!B10</f>
        <v>Jan-Erik Jonsson</v>
      </c>
      <c r="C20" s="39"/>
      <c r="D20" s="40"/>
      <c r="E20" s="129">
        <f>Sammanställning!C10</f>
        <v>707</v>
      </c>
      <c r="F20" s="206"/>
      <c r="G20" s="46"/>
      <c r="H20" s="211" t="s">
        <v>178</v>
      </c>
      <c r="I20" s="122"/>
      <c r="J20" s="34">
        <f t="shared" si="0"/>
        <v>0</v>
      </c>
      <c r="K20" s="34">
        <f t="shared" si="1"/>
        <v>0</v>
      </c>
      <c r="L20" s="34">
        <f t="array" ref="L20">K20-MIN(IF(K19:K31&gt;0,(K19:K31)))</f>
        <v>-2307.1439999999943</v>
      </c>
      <c r="M20" s="124">
        <f t="shared" si="2"/>
        <v>0</v>
      </c>
      <c r="N20" s="124">
        <f t="shared" si="3"/>
        <v>0</v>
      </c>
      <c r="O20" s="281">
        <v>4</v>
      </c>
    </row>
    <row r="21" spans="1:15" ht="20" customHeight="1" x14ac:dyDescent="0.15">
      <c r="A21" s="257">
        <v>3</v>
      </c>
      <c r="B21" s="34" t="str">
        <f>Sammanställning!B11</f>
        <v>Tobjörn Herbertsson</v>
      </c>
      <c r="C21" s="39"/>
      <c r="D21" s="40"/>
      <c r="E21" s="129">
        <f>Sammanställning!C11</f>
        <v>707</v>
      </c>
      <c r="F21" s="206"/>
      <c r="G21" s="46"/>
      <c r="H21" s="211" t="s">
        <v>178</v>
      </c>
      <c r="I21" s="122"/>
      <c r="J21" s="34">
        <f t="shared" si="0"/>
        <v>0</v>
      </c>
      <c r="K21" s="34">
        <f t="shared" si="1"/>
        <v>0</v>
      </c>
      <c r="L21" s="34">
        <f t="array" ref="L21">K21-MIN(IF(K19:K31&gt;0,(K19:K31)))</f>
        <v>-2307.1439999999943</v>
      </c>
      <c r="M21" s="124">
        <f t="shared" si="2"/>
        <v>0</v>
      </c>
      <c r="N21" s="124">
        <f t="shared" si="3"/>
        <v>0</v>
      </c>
      <c r="O21" s="281">
        <v>4</v>
      </c>
    </row>
    <row r="22" spans="1:15" ht="20" customHeight="1" x14ac:dyDescent="0.15">
      <c r="A22" s="257">
        <v>4</v>
      </c>
      <c r="B22" s="34" t="str">
        <f>Sammanställning!B12</f>
        <v>Urban Thim</v>
      </c>
      <c r="C22" s="39"/>
      <c r="D22" s="40"/>
      <c r="E22" s="129" t="str">
        <f>Sammanställning!C12</f>
        <v>707U</v>
      </c>
      <c r="F22" s="206"/>
      <c r="G22" s="46"/>
      <c r="H22" s="211" t="s">
        <v>178</v>
      </c>
      <c r="I22" s="122"/>
      <c r="J22" s="34">
        <f t="shared" si="0"/>
        <v>0</v>
      </c>
      <c r="K22" s="34">
        <f t="shared" si="1"/>
        <v>0</v>
      </c>
      <c r="L22" s="34">
        <f t="array" ref="L22">K22-MIN(IF(K19:K31&gt;0,(K19:K31)))</f>
        <v>-2307.1439999999943</v>
      </c>
      <c r="M22" s="124">
        <f t="shared" si="2"/>
        <v>0</v>
      </c>
      <c r="N22" s="124">
        <f t="shared" si="3"/>
        <v>0</v>
      </c>
      <c r="O22" s="281">
        <v>4</v>
      </c>
    </row>
    <row r="23" spans="1:15" ht="20" customHeight="1" x14ac:dyDescent="0.15">
      <c r="A23" s="257">
        <v>5</v>
      </c>
      <c r="B23" s="34" t="str">
        <f>Sammanställning!B13</f>
        <v>Lars Berglund</v>
      </c>
      <c r="C23" s="39" t="s">
        <v>197</v>
      </c>
      <c r="D23" s="127"/>
      <c r="E23" s="129" t="str">
        <f>Sammanställning!C13</f>
        <v>Maxi Magic</v>
      </c>
      <c r="F23" s="206">
        <v>0.85199999999999998</v>
      </c>
      <c r="G23" s="46"/>
      <c r="H23" s="122">
        <v>0.77083333333333337</v>
      </c>
      <c r="I23" s="122">
        <v>0.80349537037037033</v>
      </c>
      <c r="J23" s="34">
        <f t="shared" si="0"/>
        <v>2821.9999999999936</v>
      </c>
      <c r="K23" s="34">
        <f t="shared" si="1"/>
        <v>2404.3439999999946</v>
      </c>
      <c r="L23" s="34">
        <f t="array" ref="L23">K23-MIN(IF(K19:K31&gt;0,(K19:K31)))</f>
        <v>97.200000000000273</v>
      </c>
      <c r="M23" s="124">
        <f t="shared" si="2"/>
        <v>5.2303330970942712</v>
      </c>
      <c r="N23" s="124">
        <f t="shared" si="3"/>
        <v>6.1388886116129946</v>
      </c>
      <c r="O23" s="258">
        <f t="shared" si="4"/>
        <v>3</v>
      </c>
    </row>
    <row r="24" spans="1:15" ht="20" customHeight="1" x14ac:dyDescent="0.15">
      <c r="A24" s="257">
        <v>6</v>
      </c>
      <c r="B24" s="34" t="str">
        <f>Sammanställning!B14</f>
        <v>Ingmar Olsson</v>
      </c>
      <c r="C24" s="39"/>
      <c r="D24" s="127"/>
      <c r="E24" s="129" t="str">
        <f>Sammanställning!C14</f>
        <v>Avanti</v>
      </c>
      <c r="F24" s="206"/>
      <c r="G24" s="46"/>
      <c r="H24" s="211" t="s">
        <v>178</v>
      </c>
      <c r="I24" s="122"/>
      <c r="J24" s="34">
        <f t="shared" si="0"/>
        <v>0</v>
      </c>
      <c r="K24" s="34">
        <f t="shared" si="1"/>
        <v>0</v>
      </c>
      <c r="L24" s="34">
        <f t="array" ref="L24">K24-MIN(IF(K19:K31&gt;0,(K19:K31)))</f>
        <v>-2307.1439999999943</v>
      </c>
      <c r="M24" s="124">
        <f t="shared" si="2"/>
        <v>0</v>
      </c>
      <c r="N24" s="124">
        <f t="shared" si="3"/>
        <v>0</v>
      </c>
      <c r="O24" s="281">
        <v>4</v>
      </c>
    </row>
    <row r="25" spans="1:15" ht="20" customHeight="1" x14ac:dyDescent="0.15">
      <c r="A25" s="257">
        <v>7</v>
      </c>
      <c r="B25" s="34" t="str">
        <f>Sammanställning!B15</f>
        <v>Erik Andersson</v>
      </c>
      <c r="C25" s="39"/>
      <c r="D25" s="40"/>
      <c r="E25" s="129" t="str">
        <f>Sammanställning!C15</f>
        <v>Elan 210</v>
      </c>
      <c r="F25" s="206"/>
      <c r="G25" s="46"/>
      <c r="H25" s="211" t="s">
        <v>178</v>
      </c>
      <c r="I25" s="122"/>
      <c r="J25" s="34">
        <f t="shared" si="0"/>
        <v>0</v>
      </c>
      <c r="K25" s="34">
        <f t="shared" si="1"/>
        <v>0</v>
      </c>
      <c r="L25" s="34">
        <f t="array" ref="L25">K25-MIN(IF(K19:K31&gt;0,(K19:K31)))</f>
        <v>-2307.1439999999943</v>
      </c>
      <c r="M25" s="124">
        <f t="shared" si="2"/>
        <v>0</v>
      </c>
      <c r="N25" s="124">
        <f t="shared" si="3"/>
        <v>0</v>
      </c>
      <c r="O25" s="281">
        <v>4</v>
      </c>
    </row>
    <row r="26" spans="1:15" ht="20" customHeight="1" x14ac:dyDescent="0.15">
      <c r="A26" s="257">
        <v>8</v>
      </c>
      <c r="B26" s="34" t="str">
        <f>Sammanställning!B16</f>
        <v>Magnus Nilsson</v>
      </c>
      <c r="C26" s="39"/>
      <c r="D26" s="40"/>
      <c r="E26" s="129" t="str">
        <f>Sammanställning!C16</f>
        <v>Viggen</v>
      </c>
      <c r="F26" s="206">
        <v>0.76600000000000001</v>
      </c>
      <c r="G26" s="46"/>
      <c r="H26" s="122">
        <v>0.77083333333333337</v>
      </c>
      <c r="I26" s="122">
        <v>0.80601851851851847</v>
      </c>
      <c r="J26" s="34">
        <f t="shared" si="0"/>
        <v>3039.9999999999923</v>
      </c>
      <c r="K26" s="34">
        <f t="shared" si="1"/>
        <v>2328.639999999994</v>
      </c>
      <c r="L26" s="34">
        <f t="array" ref="L26">K26-MIN(IF(K19:K31&gt;0,(K19:K31)))</f>
        <v>21.49599999999964</v>
      </c>
      <c r="M26" s="124">
        <f>IF(J26&gt;0,$H$6/J26*3600,0)</f>
        <v>4.8552631578947487</v>
      </c>
      <c r="N26" s="124">
        <f t="shared" si="3"/>
        <v>6.3384636526041103</v>
      </c>
      <c r="O26" s="258">
        <f t="shared" si="4"/>
        <v>2</v>
      </c>
    </row>
    <row r="27" spans="1:15" ht="20" customHeight="1" x14ac:dyDescent="0.15">
      <c r="A27" s="257">
        <v>9</v>
      </c>
      <c r="B27" s="34">
        <f>Sammanställning!B17</f>
        <v>0</v>
      </c>
      <c r="C27" s="39"/>
      <c r="D27" s="40"/>
      <c r="E27" s="129">
        <f>Sammanställning!C17</f>
        <v>0</v>
      </c>
      <c r="F27" s="206"/>
      <c r="G27" s="46"/>
      <c r="H27" s="211"/>
      <c r="I27" s="122"/>
      <c r="J27" s="34">
        <f t="shared" si="0"/>
        <v>0</v>
      </c>
      <c r="K27" s="34">
        <f t="shared" si="1"/>
        <v>0</v>
      </c>
      <c r="L27" s="34">
        <f t="array" ref="L27">K27-MIN(IF(K19:K31&gt;0,(K19:K31)))</f>
        <v>-2307.1439999999943</v>
      </c>
      <c r="M27" s="124">
        <f t="shared" si="2"/>
        <v>0</v>
      </c>
      <c r="N27" s="124">
        <f t="shared" si="3"/>
        <v>0</v>
      </c>
      <c r="O27" s="258">
        <f t="shared" si="4"/>
        <v>-9</v>
      </c>
    </row>
    <row r="28" spans="1:15" ht="20" customHeight="1" x14ac:dyDescent="0.15">
      <c r="A28" s="257">
        <v>10</v>
      </c>
      <c r="B28" s="34">
        <f>Sammanställning!B18</f>
        <v>0</v>
      </c>
      <c r="C28" s="128"/>
      <c r="D28" s="40"/>
      <c r="E28" s="129">
        <f>Sammanställning!C18</f>
        <v>0</v>
      </c>
      <c r="F28" s="206"/>
      <c r="G28" s="46"/>
      <c r="H28" s="211"/>
      <c r="I28" s="122"/>
      <c r="J28" s="34">
        <f t="shared" si="0"/>
        <v>0</v>
      </c>
      <c r="K28" s="34">
        <f t="shared" si="1"/>
        <v>0</v>
      </c>
      <c r="L28" s="34">
        <f t="array" ref="L28">K28-MIN(IF(K19:K31&gt;0,(K19:K31)))</f>
        <v>-2307.1439999999943</v>
      </c>
      <c r="M28" s="124">
        <f t="shared" si="2"/>
        <v>0</v>
      </c>
      <c r="N28" s="124">
        <f t="shared" si="3"/>
        <v>0</v>
      </c>
      <c r="O28" s="258">
        <f t="shared" si="4"/>
        <v>-9</v>
      </c>
    </row>
    <row r="29" spans="1:15" ht="20" customHeight="1" x14ac:dyDescent="0.15">
      <c r="A29" s="257">
        <v>11</v>
      </c>
      <c r="B29" s="34">
        <f>Sammanställning!B19</f>
        <v>0</v>
      </c>
      <c r="C29" s="39"/>
      <c r="D29" s="40"/>
      <c r="E29" s="129">
        <f>Sammanställning!C19</f>
        <v>0</v>
      </c>
      <c r="F29" s="206"/>
      <c r="G29" s="46"/>
      <c r="H29" s="122"/>
      <c r="I29" s="122"/>
      <c r="J29" s="34">
        <f t="shared" si="0"/>
        <v>0</v>
      </c>
      <c r="K29" s="34">
        <f t="shared" si="1"/>
        <v>0</v>
      </c>
      <c r="L29" s="34">
        <f t="array" ref="L29">K29-MIN(IF(K19:K31&gt;0,(K19:K31)))</f>
        <v>-2307.1439999999943</v>
      </c>
      <c r="M29" s="124">
        <f t="shared" si="2"/>
        <v>0</v>
      </c>
      <c r="N29" s="124">
        <f t="shared" si="3"/>
        <v>0</v>
      </c>
      <c r="O29" s="258">
        <f t="shared" si="4"/>
        <v>-9</v>
      </c>
    </row>
    <row r="30" spans="1:15" ht="20" customHeight="1" thickBot="1" x14ac:dyDescent="0.2">
      <c r="A30" s="259">
        <v>12</v>
      </c>
      <c r="B30" s="216">
        <f>Sammanställning!B20</f>
        <v>0</v>
      </c>
      <c r="C30" s="260"/>
      <c r="D30" s="261"/>
      <c r="E30" s="262">
        <f>Sammanställning!C20</f>
        <v>0</v>
      </c>
      <c r="F30" s="277"/>
      <c r="G30" s="264"/>
      <c r="H30" s="266"/>
      <c r="I30" s="266"/>
      <c r="J30" s="216">
        <f t="shared" si="0"/>
        <v>0</v>
      </c>
      <c r="K30" s="216">
        <f t="shared" si="1"/>
        <v>0</v>
      </c>
      <c r="L30" s="216">
        <f t="array" ref="L30">K30-MIN(IF(K19:K31&gt;0,(K19:K31)))</f>
        <v>-2307.1439999999943</v>
      </c>
      <c r="M30" s="268">
        <f t="shared" si="2"/>
        <v>0</v>
      </c>
      <c r="N30" s="268">
        <f t="shared" si="3"/>
        <v>0</v>
      </c>
      <c r="O30" s="269">
        <f t="shared" si="4"/>
        <v>-9</v>
      </c>
    </row>
    <row r="31" spans="1:15" ht="20" customHeight="1" thickBot="1" x14ac:dyDescent="0.2">
      <c r="A31" s="21">
        <v>13</v>
      </c>
      <c r="B31" s="239">
        <f>Sammanställning!B21</f>
        <v>0</v>
      </c>
      <c r="C31" s="240"/>
      <c r="D31" s="240"/>
      <c r="E31" s="241">
        <f>Sammanställning!C21</f>
        <v>0</v>
      </c>
      <c r="F31" s="272"/>
      <c r="G31" s="24"/>
      <c r="H31" s="273"/>
      <c r="I31" s="243"/>
      <c r="J31" s="239">
        <f t="shared" si="0"/>
        <v>0</v>
      </c>
      <c r="K31" s="239">
        <f t="shared" si="1"/>
        <v>0</v>
      </c>
      <c r="L31" s="239">
        <f t="array" ref="L31">K31-MIN(IF(K19:K31&gt;0,(K19:K31)))</f>
        <v>-2307.1439999999943</v>
      </c>
      <c r="M31" s="245">
        <f t="shared" si="2"/>
        <v>0</v>
      </c>
      <c r="N31" s="245">
        <f t="shared" si="3"/>
        <v>0</v>
      </c>
      <c r="O31" s="246">
        <f t="shared" si="4"/>
        <v>-9</v>
      </c>
    </row>
  </sheetData>
  <sheetProtection selectLockedCells="1" selectUnlockedCells="1"/>
  <mergeCells count="8">
    <mergeCell ref="C10:D10"/>
    <mergeCell ref="C5:D5"/>
    <mergeCell ref="C6:D6"/>
    <mergeCell ref="L6:O6"/>
    <mergeCell ref="C7:D7"/>
    <mergeCell ref="L7:N7"/>
    <mergeCell ref="C8:D8"/>
    <mergeCell ref="L8:O8"/>
  </mergeCells>
  <phoneticPr fontId="12" type="noConversion"/>
  <printOptions horizontalCentered="1"/>
  <pageMargins left="0" right="0" top="0.19652777777777777" bottom="0.19652777777777777" header="0.51180555555555551" footer="0.51180555555555551"/>
  <pageSetup paperSize="9" firstPageNumber="0" orientation="landscape" horizontalDpi="300" verticalDpi="30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F7A58-221F-6342-ACB4-DD371CCA8796}">
  <sheetPr codeName="Blad9"/>
  <dimension ref="A1:O31"/>
  <sheetViews>
    <sheetView zoomScale="87" zoomScaleNormal="87" workbookViewId="0">
      <selection activeCell="Z30" sqref="Z30"/>
    </sheetView>
  </sheetViews>
  <sheetFormatPr baseColWidth="10" defaultColWidth="9.25" defaultRowHeight="13" x14ac:dyDescent="0.15"/>
  <cols>
    <col min="1" max="1" width="6.75" style="1" customWidth="1"/>
    <col min="2" max="2" width="27.25" style="1" customWidth="1"/>
    <col min="3" max="3" width="28.5" style="1" customWidth="1"/>
    <col min="4" max="4" width="17.75" style="1" customWidth="1"/>
    <col min="5" max="5" width="16.75" style="1" customWidth="1"/>
    <col min="6" max="6" width="10.5" style="1" customWidth="1"/>
    <col min="7" max="7" width="6.75" style="1" customWidth="1"/>
    <col min="8" max="8" width="13.25" style="1" customWidth="1"/>
    <col min="9" max="9" width="12.5" style="1" customWidth="1"/>
    <col min="10" max="10" width="13.5" style="1" customWidth="1"/>
    <col min="11" max="11" width="11.75" style="1" customWidth="1"/>
    <col min="12" max="15" width="8.75" style="1" customWidth="1"/>
    <col min="16" max="16" width="7.75" style="1" customWidth="1"/>
    <col min="17" max="17" width="6.75" style="1" customWidth="1"/>
    <col min="18" max="16384" width="9.25" style="1"/>
  </cols>
  <sheetData>
    <row r="1" spans="1:15" ht="8" customHeight="1" x14ac:dyDescent="0.15"/>
    <row r="2" spans="1:15" s="135" customFormat="1" ht="25" customHeight="1" x14ac:dyDescent="0.25">
      <c r="A2" s="134"/>
      <c r="B2" s="335"/>
      <c r="C2" s="335"/>
      <c r="G2" s="4" t="str">
        <f>Sammanställning!G2</f>
        <v>HSS Torsdagscup 2026</v>
      </c>
      <c r="H2" s="136"/>
      <c r="I2" s="136"/>
    </row>
    <row r="3" spans="1:15" ht="20" customHeight="1" x14ac:dyDescent="0.2">
      <c r="G3" s="6" t="s">
        <v>80</v>
      </c>
      <c r="H3" s="5"/>
      <c r="I3" s="5"/>
      <c r="J3" s="5"/>
    </row>
    <row r="4" spans="1:15" ht="3" customHeight="1" x14ac:dyDescent="0.2">
      <c r="A4" s="3"/>
    </row>
    <row r="5" spans="1:15" ht="20" customHeight="1" x14ac:dyDescent="0.15">
      <c r="A5" s="62" t="s">
        <v>26</v>
      </c>
      <c r="B5" s="63"/>
      <c r="C5" s="325">
        <v>7</v>
      </c>
      <c r="D5" s="325"/>
      <c r="E5" s="64" t="s">
        <v>27</v>
      </c>
      <c r="F5" s="65"/>
      <c r="G5" s="66"/>
      <c r="H5" s="67" t="s">
        <v>202</v>
      </c>
      <c r="I5" s="68"/>
      <c r="K5" s="69" t="s">
        <v>28</v>
      </c>
      <c r="L5" s="70"/>
      <c r="M5" s="70"/>
      <c r="N5" s="70"/>
      <c r="O5" s="71"/>
    </row>
    <row r="6" spans="1:15" ht="20" customHeight="1" x14ac:dyDescent="0.15">
      <c r="A6" s="72" t="s">
        <v>29</v>
      </c>
      <c r="B6" s="73"/>
      <c r="C6" s="326" t="s">
        <v>152</v>
      </c>
      <c r="D6" s="326"/>
      <c r="E6" s="74" t="s">
        <v>30</v>
      </c>
      <c r="F6" s="75"/>
      <c r="G6" s="76"/>
      <c r="H6" s="77">
        <v>2.4900000000000002</v>
      </c>
      <c r="I6" s="78" t="s">
        <v>31</v>
      </c>
      <c r="K6" s="79" t="s">
        <v>32</v>
      </c>
      <c r="L6" s="333" t="s">
        <v>203</v>
      </c>
      <c r="M6" s="333"/>
      <c r="N6" s="333"/>
      <c r="O6" s="333"/>
    </row>
    <row r="7" spans="1:15" ht="20" customHeight="1" x14ac:dyDescent="0.15">
      <c r="A7" s="80" t="s">
        <v>33</v>
      </c>
      <c r="B7" s="81"/>
      <c r="C7" s="328">
        <v>46247</v>
      </c>
      <c r="D7" s="328"/>
      <c r="E7" s="82" t="s">
        <v>34</v>
      </c>
      <c r="F7" s="83"/>
      <c r="G7" s="66" t="s">
        <v>35</v>
      </c>
      <c r="H7" s="65"/>
      <c r="I7" s="84" t="s">
        <v>36</v>
      </c>
      <c r="K7" s="85" t="s">
        <v>37</v>
      </c>
      <c r="L7" s="332" t="s">
        <v>204</v>
      </c>
      <c r="M7" s="332"/>
      <c r="N7" s="332"/>
      <c r="O7" s="86" t="s">
        <v>38</v>
      </c>
    </row>
    <row r="8" spans="1:15" ht="20" customHeight="1" x14ac:dyDescent="0.15">
      <c r="A8" s="87" t="s">
        <v>39</v>
      </c>
      <c r="B8" s="88"/>
      <c r="C8" s="330">
        <v>0.76041666666666663</v>
      </c>
      <c r="D8" s="330"/>
      <c r="E8" s="89" t="s">
        <v>40</v>
      </c>
      <c r="G8" s="90"/>
      <c r="H8" s="91"/>
      <c r="I8" s="92"/>
      <c r="K8" s="93" t="s">
        <v>41</v>
      </c>
      <c r="L8" s="334" t="s">
        <v>205</v>
      </c>
      <c r="M8" s="334"/>
      <c r="N8" s="334"/>
      <c r="O8" s="334"/>
    </row>
    <row r="9" spans="1:15" ht="17" customHeight="1" x14ac:dyDescent="0.15">
      <c r="C9" s="5"/>
      <c r="D9" s="58"/>
      <c r="E9" s="94"/>
      <c r="G9" s="90"/>
      <c r="H9" s="91"/>
      <c r="I9" s="92"/>
      <c r="K9" s="62" t="s">
        <v>42</v>
      </c>
      <c r="L9" s="65"/>
      <c r="M9" s="95"/>
      <c r="N9" s="95"/>
      <c r="O9" s="96"/>
    </row>
    <row r="10" spans="1:15" ht="20" customHeight="1" x14ac:dyDescent="0.15">
      <c r="A10" s="69" t="s">
        <v>43</v>
      </c>
      <c r="B10" s="70"/>
      <c r="C10" s="324" t="s">
        <v>167</v>
      </c>
      <c r="D10" s="324"/>
      <c r="E10" s="94"/>
      <c r="G10" s="90" t="s">
        <v>44</v>
      </c>
      <c r="H10" s="91"/>
      <c r="I10" s="92" t="s">
        <v>45</v>
      </c>
      <c r="K10" s="97"/>
      <c r="L10" s="98" t="s">
        <v>46</v>
      </c>
      <c r="M10" s="99" t="s">
        <v>47</v>
      </c>
      <c r="N10" s="98" t="s">
        <v>48</v>
      </c>
      <c r="O10" s="100" t="s">
        <v>49</v>
      </c>
    </row>
    <row r="11" spans="1:15" ht="20" customHeight="1" x14ac:dyDescent="0.15">
      <c r="E11" s="94"/>
      <c r="G11" s="101" t="s">
        <v>50</v>
      </c>
      <c r="H11" s="102"/>
      <c r="I11" s="103" t="s">
        <v>51</v>
      </c>
      <c r="K11" s="104"/>
      <c r="L11" s="27" t="s">
        <v>52</v>
      </c>
      <c r="M11" s="22" t="s">
        <v>9</v>
      </c>
      <c r="N11" s="27" t="s">
        <v>52</v>
      </c>
      <c r="O11" s="105" t="s">
        <v>9</v>
      </c>
    </row>
    <row r="12" spans="1:15" ht="20" customHeight="1" x14ac:dyDescent="0.15">
      <c r="E12" s="94"/>
      <c r="G12" s="101" t="s">
        <v>53</v>
      </c>
      <c r="H12" s="102"/>
      <c r="I12" s="103" t="s">
        <v>54</v>
      </c>
      <c r="K12" s="72" t="s">
        <v>55</v>
      </c>
      <c r="L12" s="106">
        <f>IF(COUNTA($F$19:$F$31)&gt;0,M12*AVERAGE($F$19:$F$31),0)</f>
        <v>0</v>
      </c>
      <c r="M12" s="107"/>
      <c r="N12" s="108">
        <f>IF(COUNTA($F$19:$F$31)&gt;0,O12/AVERAGE($F$19:$F$31),0)</f>
        <v>0</v>
      </c>
      <c r="O12" s="109">
        <f>IF(ISBLANK(M12),0,H6/M12*60)</f>
        <v>0</v>
      </c>
    </row>
    <row r="13" spans="1:15" ht="20" customHeight="1" thickBot="1" x14ac:dyDescent="0.2">
      <c r="D13" s="110"/>
      <c r="E13" s="111"/>
      <c r="F13" s="75"/>
      <c r="G13" s="112" t="s">
        <v>133</v>
      </c>
      <c r="H13" s="113"/>
      <c r="I13" s="114" t="s">
        <v>134</v>
      </c>
      <c r="K13" s="87" t="s">
        <v>56</v>
      </c>
      <c r="L13" s="115">
        <f>IF(SUM(M19:M31)&gt;0,SUMIF(M19:M31,"&gt;0",M19:M31)/COUNTIF(M19:M31,"&gt;0"),0)</f>
        <v>3.8016287389399337</v>
      </c>
      <c r="M13" s="115">
        <f>IF(SUM(M19:M31)&gt;0,SUMIF(N19:N31,"&gt;0",N19:N31)/COUNTIF(N19:N31,"&gt;0"),0)</f>
        <v>4.4667177213818796</v>
      </c>
      <c r="N13" s="53">
        <f>IF(SUM(M19:M31)&gt;0,SUMIF(J19:J31,"&gt;0",J19:J31)/COUNTIF(J19:J31,"&gt;0")/60,0)</f>
        <v>39.947222222222301</v>
      </c>
      <c r="O13" s="116">
        <f>IF(SUM(M19:M31)&gt;0,SUMIF(K19:K31,"&gt;0",K19:K31)/COUNTIF(K19:K31,"&gt;0")/60,0)</f>
        <v>33.683788888888948</v>
      </c>
    </row>
    <row r="14" spans="1:15" ht="10" customHeight="1" thickBot="1" x14ac:dyDescent="0.2"/>
    <row r="15" spans="1:15" ht="20" customHeight="1" x14ac:dyDescent="0.15">
      <c r="A15" s="8" t="s">
        <v>1</v>
      </c>
      <c r="B15" s="9" t="s">
        <v>2</v>
      </c>
      <c r="C15" s="11" t="s">
        <v>57</v>
      </c>
      <c r="D15" s="11" t="s">
        <v>58</v>
      </c>
      <c r="E15" s="11" t="s">
        <v>3</v>
      </c>
      <c r="F15" s="11" t="s">
        <v>59</v>
      </c>
      <c r="G15" s="11" t="s">
        <v>60</v>
      </c>
      <c r="H15" s="11" t="s">
        <v>61</v>
      </c>
      <c r="I15" s="11" t="s">
        <v>62</v>
      </c>
      <c r="J15" s="11" t="s">
        <v>63</v>
      </c>
      <c r="K15" s="11" t="s">
        <v>64</v>
      </c>
      <c r="L15" s="11" t="s">
        <v>65</v>
      </c>
      <c r="M15" s="11" t="s">
        <v>46</v>
      </c>
      <c r="N15" s="11" t="s">
        <v>46</v>
      </c>
      <c r="O15" s="14" t="s">
        <v>66</v>
      </c>
    </row>
    <row r="16" spans="1:15" ht="20" customHeight="1" x14ac:dyDescent="0.15">
      <c r="A16" s="117"/>
      <c r="B16" s="16"/>
      <c r="C16" s="18"/>
      <c r="D16" s="18"/>
      <c r="E16" s="17"/>
      <c r="F16" s="18" t="s">
        <v>67</v>
      </c>
      <c r="G16" s="18" t="s">
        <v>68</v>
      </c>
      <c r="H16" s="18"/>
      <c r="I16" s="18"/>
      <c r="J16" s="18" t="s">
        <v>48</v>
      </c>
      <c r="K16" s="18" t="s">
        <v>69</v>
      </c>
      <c r="L16" s="18" t="s">
        <v>70</v>
      </c>
      <c r="M16" s="18" t="s">
        <v>71</v>
      </c>
      <c r="N16" s="18" t="s">
        <v>71</v>
      </c>
      <c r="O16" s="20"/>
    </row>
    <row r="17" spans="1:15" ht="20" customHeight="1" x14ac:dyDescent="0.15">
      <c r="A17" s="117"/>
      <c r="B17" s="16"/>
      <c r="C17" s="18"/>
      <c r="D17" s="18"/>
      <c r="E17" s="17"/>
      <c r="F17" s="18"/>
      <c r="G17" s="118"/>
      <c r="H17" s="18"/>
      <c r="I17" s="18"/>
      <c r="J17" s="18"/>
      <c r="K17" s="18" t="s">
        <v>48</v>
      </c>
      <c r="L17" s="18"/>
      <c r="M17" s="18" t="s">
        <v>52</v>
      </c>
      <c r="N17" s="18" t="s">
        <v>9</v>
      </c>
      <c r="O17" s="20"/>
    </row>
    <row r="18" spans="1:15" ht="20" customHeight="1" thickBot="1" x14ac:dyDescent="0.2">
      <c r="A18" s="117"/>
      <c r="B18" s="16"/>
      <c r="C18" s="18"/>
      <c r="D18" s="18"/>
      <c r="E18" s="17"/>
      <c r="F18" s="18"/>
      <c r="G18" s="118" t="s">
        <v>72</v>
      </c>
      <c r="H18" s="118" t="s">
        <v>73</v>
      </c>
      <c r="I18" s="118" t="s">
        <v>73</v>
      </c>
      <c r="J18" s="118" t="s">
        <v>74</v>
      </c>
      <c r="K18" s="118" t="s">
        <v>74</v>
      </c>
      <c r="L18" s="118" t="s">
        <v>74</v>
      </c>
      <c r="M18" s="118" t="s">
        <v>47</v>
      </c>
      <c r="N18" s="118" t="s">
        <v>47</v>
      </c>
      <c r="O18" s="20"/>
    </row>
    <row r="19" spans="1:15" ht="20" customHeight="1" x14ac:dyDescent="0.15">
      <c r="A19" s="247">
        <v>1</v>
      </c>
      <c r="B19" s="253" t="str">
        <f>Sammanställning!B9</f>
        <v>Staffan Kerker</v>
      </c>
      <c r="C19" s="248" t="s">
        <v>160</v>
      </c>
      <c r="D19" s="284"/>
      <c r="E19" s="275">
        <f>Sammanställning!C9</f>
        <v>707</v>
      </c>
      <c r="F19" s="276">
        <v>0.86799999999999999</v>
      </c>
      <c r="G19" s="251">
        <v>6</v>
      </c>
      <c r="H19" s="252">
        <v>0.76458333333333328</v>
      </c>
      <c r="I19" s="252">
        <v>0.79091435185185188</v>
      </c>
      <c r="J19" s="253">
        <f t="shared" ref="J19:J31" si="0">IF(I19&gt;0,(I19-H19)*24*3600,0)</f>
        <v>2275.0000000000073</v>
      </c>
      <c r="K19" s="253">
        <f t="shared" ref="K19:K31" si="1">J19*F19</f>
        <v>1974.7000000000064</v>
      </c>
      <c r="L19" s="316">
        <f t="array" ref="L19">K19-MIN(IF(K19:K31&gt;0,(K19:K31)))</f>
        <v>153.63599999999929</v>
      </c>
      <c r="M19" s="255">
        <f t="shared" ref="M19:M31" si="2">IF(J19&gt;0,$H$6/J19*3600,0)</f>
        <v>3.9402197802197683</v>
      </c>
      <c r="N19" s="255">
        <f t="shared" ref="N19:N31" si="3">IF(K19&gt;0,M19/F19,0)</f>
        <v>4.5394237099306087</v>
      </c>
      <c r="O19" s="256">
        <f>RANK(K19,$K$19:$K$31,1)-COUNTIF($K$19:$K$31,0)</f>
        <v>4</v>
      </c>
    </row>
    <row r="20" spans="1:15" ht="20" customHeight="1" x14ac:dyDescent="0.15">
      <c r="A20" s="257">
        <v>2</v>
      </c>
      <c r="B20" s="34" t="str">
        <f>Sammanställning!B10</f>
        <v>Jan-Erik Jonsson</v>
      </c>
      <c r="C20" s="39" t="s">
        <v>179</v>
      </c>
      <c r="D20" s="217"/>
      <c r="E20" s="129">
        <f>Sammanställning!C10</f>
        <v>707</v>
      </c>
      <c r="F20" s="206">
        <v>0.86799999999999999</v>
      </c>
      <c r="G20" s="46">
        <v>6</v>
      </c>
      <c r="H20" s="122">
        <v>0.76458333333333328</v>
      </c>
      <c r="I20" s="122">
        <v>0.79085648148148147</v>
      </c>
      <c r="J20" s="34">
        <f t="shared" si="0"/>
        <v>2270.0000000000032</v>
      </c>
      <c r="K20" s="34">
        <f t="shared" si="1"/>
        <v>1970.3600000000029</v>
      </c>
      <c r="L20" s="212">
        <f t="array" ref="L20">K20-MIN(IF(K19:K31&gt;0,(K19:K31)))</f>
        <v>149.29599999999573</v>
      </c>
      <c r="M20" s="124">
        <f>IF(J20&gt;0,$H$6/J20*3600,0)</f>
        <v>3.9488986784140918</v>
      </c>
      <c r="N20" s="124">
        <f t="shared" si="3"/>
        <v>4.5494224405692298</v>
      </c>
      <c r="O20" s="258">
        <f t="shared" ref="O20:O31" si="4">RANK(K20,$K$19:$K$31,1)-COUNTIF($K$19:$K$31,0)</f>
        <v>3</v>
      </c>
    </row>
    <row r="21" spans="1:15" ht="20" customHeight="1" x14ac:dyDescent="0.15">
      <c r="A21" s="257">
        <v>3</v>
      </c>
      <c r="B21" s="34" t="str">
        <f>Sammanställning!B11</f>
        <v>Tobjörn Herbertsson</v>
      </c>
      <c r="C21" s="39" t="s">
        <v>206</v>
      </c>
      <c r="D21" s="40"/>
      <c r="E21" s="129">
        <f>Sammanställning!C11</f>
        <v>707</v>
      </c>
      <c r="F21" s="206">
        <v>0.86799999999999999</v>
      </c>
      <c r="G21" s="46">
        <v>6</v>
      </c>
      <c r="H21" s="122">
        <v>0.76458333333333328</v>
      </c>
      <c r="I21" s="122">
        <v>0.79032407407407412</v>
      </c>
      <c r="J21" s="34">
        <f t="shared" si="0"/>
        <v>2224.0000000000086</v>
      </c>
      <c r="K21" s="34">
        <f t="shared" si="1"/>
        <v>1930.4320000000075</v>
      </c>
      <c r="L21" s="212">
        <f t="array" ref="L21">K21-MIN(IF(K19:K31&gt;0,(K19:K31)))</f>
        <v>109.36800000000039</v>
      </c>
      <c r="M21" s="124">
        <f t="shared" si="2"/>
        <v>4.0305755395683303</v>
      </c>
      <c r="N21" s="124">
        <f t="shared" si="3"/>
        <v>4.6435202068759569</v>
      </c>
      <c r="O21" s="258">
        <f t="shared" si="4"/>
        <v>2</v>
      </c>
    </row>
    <row r="22" spans="1:15" ht="20" customHeight="1" x14ac:dyDescent="0.15">
      <c r="A22" s="257">
        <v>4</v>
      </c>
      <c r="B22" s="34" t="str">
        <f>Sammanställning!B12</f>
        <v>Urban Thim</v>
      </c>
      <c r="C22" s="39" t="s">
        <v>207</v>
      </c>
      <c r="D22" s="40"/>
      <c r="E22" s="129" t="str">
        <f>Sammanställning!C12</f>
        <v>707U</v>
      </c>
      <c r="F22" s="206">
        <v>0.86799999999999999</v>
      </c>
      <c r="G22" s="46">
        <v>6</v>
      </c>
      <c r="H22" s="122">
        <v>0.76458333333333328</v>
      </c>
      <c r="I22" s="122">
        <v>0.78886574074074078</v>
      </c>
      <c r="J22" s="34">
        <f t="shared" si="0"/>
        <v>2098.0000000000082</v>
      </c>
      <c r="K22" s="34">
        <f t="shared" si="1"/>
        <v>1821.0640000000071</v>
      </c>
      <c r="L22" s="212">
        <f t="array" ref="L22">K22-MIN(IF(K19:K31&gt;0,(K19:K31)))</f>
        <v>0</v>
      </c>
      <c r="M22" s="124">
        <f t="shared" si="2"/>
        <v>4.2726406101048457</v>
      </c>
      <c r="N22" s="124">
        <f t="shared" si="3"/>
        <v>4.9223970162498221</v>
      </c>
      <c r="O22" s="280">
        <f t="shared" si="4"/>
        <v>1</v>
      </c>
    </row>
    <row r="23" spans="1:15" ht="20" customHeight="1" x14ac:dyDescent="0.15">
      <c r="A23" s="257">
        <v>5</v>
      </c>
      <c r="B23" s="34" t="str">
        <f>Sammanställning!B13</f>
        <v>Lars Berglund</v>
      </c>
      <c r="C23" s="39" t="s">
        <v>163</v>
      </c>
      <c r="D23" s="127"/>
      <c r="E23" s="129" t="str">
        <f>Sammanställning!C13</f>
        <v>Maxi Magic</v>
      </c>
      <c r="F23" s="206">
        <v>0.85199999999999998</v>
      </c>
      <c r="G23" s="46">
        <v>5</v>
      </c>
      <c r="H23" s="122">
        <v>0.76388888888888884</v>
      </c>
      <c r="I23" s="122">
        <v>0.79159722222222217</v>
      </c>
      <c r="J23" s="34">
        <f t="shared" si="0"/>
        <v>2394</v>
      </c>
      <c r="K23" s="34">
        <f t="shared" si="1"/>
        <v>2039.6879999999999</v>
      </c>
      <c r="L23" s="212">
        <f t="array" ref="L23">K23-MIN(IF(K19:K31&gt;0,(K19:K31)))</f>
        <v>218.62399999999275</v>
      </c>
      <c r="M23" s="124">
        <f t="shared" si="2"/>
        <v>3.7443609022556394</v>
      </c>
      <c r="N23" s="124">
        <f t="shared" si="3"/>
        <v>4.3947897913798588</v>
      </c>
      <c r="O23" s="258">
        <f t="shared" si="4"/>
        <v>5</v>
      </c>
    </row>
    <row r="24" spans="1:15" ht="20" customHeight="1" x14ac:dyDescent="0.15">
      <c r="A24" s="257">
        <v>6</v>
      </c>
      <c r="B24" s="34" t="str">
        <f>Sammanställning!B14</f>
        <v>Ingmar Olsson</v>
      </c>
      <c r="C24" s="39"/>
      <c r="D24" s="127"/>
      <c r="E24" s="129" t="str">
        <f>Sammanställning!C14</f>
        <v>Avanti</v>
      </c>
      <c r="F24" s="206"/>
      <c r="G24" s="46"/>
      <c r="H24" s="211" t="s">
        <v>178</v>
      </c>
      <c r="I24" s="122"/>
      <c r="J24" s="34">
        <f t="shared" si="0"/>
        <v>0</v>
      </c>
      <c r="K24" s="34">
        <f t="shared" si="1"/>
        <v>0</v>
      </c>
      <c r="L24" s="212">
        <f t="array" ref="L24">K24-MIN(IF(K19:K31&gt;0,(K19:K31)))</f>
        <v>-1821.0640000000071</v>
      </c>
      <c r="M24" s="124">
        <f t="shared" si="2"/>
        <v>0</v>
      </c>
      <c r="N24" s="124">
        <f t="shared" si="3"/>
        <v>0</v>
      </c>
      <c r="O24" s="281">
        <v>7</v>
      </c>
    </row>
    <row r="25" spans="1:15" ht="20" customHeight="1" x14ac:dyDescent="0.15">
      <c r="A25" s="257">
        <v>7</v>
      </c>
      <c r="B25" s="34" t="str">
        <f>Sammanställning!B15</f>
        <v>Erik Andersson</v>
      </c>
      <c r="C25" s="39"/>
      <c r="D25" s="40"/>
      <c r="E25" s="129" t="str">
        <f>Sammanställning!C15</f>
        <v>Elan 210</v>
      </c>
      <c r="F25" s="206"/>
      <c r="G25" s="46"/>
      <c r="H25" s="211" t="s">
        <v>178</v>
      </c>
      <c r="I25" s="122"/>
      <c r="J25" s="34">
        <f t="shared" si="0"/>
        <v>0</v>
      </c>
      <c r="K25" s="34">
        <f t="shared" si="1"/>
        <v>0</v>
      </c>
      <c r="L25" s="212">
        <f t="array" ref="L25">K25-MIN(IF(K19:K31&gt;0,(K19:K31)))</f>
        <v>-1821.0640000000071</v>
      </c>
      <c r="M25" s="124">
        <f t="shared" si="2"/>
        <v>0</v>
      </c>
      <c r="N25" s="124">
        <f t="shared" si="3"/>
        <v>0</v>
      </c>
      <c r="O25" s="281">
        <v>7</v>
      </c>
    </row>
    <row r="26" spans="1:15" ht="20" customHeight="1" x14ac:dyDescent="0.15">
      <c r="A26" s="257">
        <v>8</v>
      </c>
      <c r="B26" s="34" t="str">
        <f>Sammanställning!B16</f>
        <v>Magnus Nilsson</v>
      </c>
      <c r="C26" s="39"/>
      <c r="D26" s="40"/>
      <c r="E26" s="129" t="str">
        <f>Sammanställning!C16</f>
        <v>Viggen</v>
      </c>
      <c r="F26" s="206">
        <v>0.76600000000000001</v>
      </c>
      <c r="G26" s="46">
        <v>9</v>
      </c>
      <c r="H26" s="122">
        <v>0.76041666666666663</v>
      </c>
      <c r="I26" s="122">
        <v>0.79652777777777772</v>
      </c>
      <c r="J26" s="34">
        <f t="shared" si="0"/>
        <v>3119.9999999999986</v>
      </c>
      <c r="K26" s="34">
        <f t="shared" si="1"/>
        <v>2389.9199999999992</v>
      </c>
      <c r="L26" s="212">
        <f t="array" ref="L26">K26-MIN(IF(K19:K31&gt;0,(K19:K31)))</f>
        <v>568.85599999999204</v>
      </c>
      <c r="M26" s="124">
        <f t="shared" si="2"/>
        <v>2.8730769230769244</v>
      </c>
      <c r="N26" s="124">
        <f t="shared" si="3"/>
        <v>3.7507531632858022</v>
      </c>
      <c r="O26" s="258">
        <f t="shared" si="4"/>
        <v>6</v>
      </c>
    </row>
    <row r="27" spans="1:15" ht="20" customHeight="1" x14ac:dyDescent="0.15">
      <c r="A27" s="257">
        <v>9</v>
      </c>
      <c r="B27" s="34">
        <f>Sammanställning!B17</f>
        <v>0</v>
      </c>
      <c r="C27" s="39"/>
      <c r="D27" s="40"/>
      <c r="E27" s="129">
        <f>Sammanställning!C17</f>
        <v>0</v>
      </c>
      <c r="F27" s="206"/>
      <c r="G27" s="46"/>
      <c r="H27" s="211"/>
      <c r="I27" s="122"/>
      <c r="J27" s="34">
        <f t="shared" si="0"/>
        <v>0</v>
      </c>
      <c r="K27" s="34">
        <f t="shared" si="1"/>
        <v>0</v>
      </c>
      <c r="L27" s="212">
        <f t="array" ref="L27">K27-MIN(IF(K19:K31&gt;0,(K19:K31)))</f>
        <v>-1821.0640000000071</v>
      </c>
      <c r="M27" s="124">
        <f t="shared" si="2"/>
        <v>0</v>
      </c>
      <c r="N27" s="124">
        <f t="shared" si="3"/>
        <v>0</v>
      </c>
      <c r="O27" s="258">
        <f t="shared" si="4"/>
        <v>-6</v>
      </c>
    </row>
    <row r="28" spans="1:15" ht="20" customHeight="1" x14ac:dyDescent="0.15">
      <c r="A28" s="257">
        <v>10</v>
      </c>
      <c r="B28" s="34">
        <f>Sammanställning!B18</f>
        <v>0</v>
      </c>
      <c r="C28" s="39"/>
      <c r="D28" s="40"/>
      <c r="E28" s="129">
        <f>Sammanställning!C18</f>
        <v>0</v>
      </c>
      <c r="F28" s="206"/>
      <c r="G28" s="46"/>
      <c r="H28" s="211"/>
      <c r="I28" s="122"/>
      <c r="J28" s="34">
        <f t="shared" si="0"/>
        <v>0</v>
      </c>
      <c r="K28" s="34">
        <f t="shared" si="1"/>
        <v>0</v>
      </c>
      <c r="L28" s="212">
        <f t="array" ref="L28">K28-MIN(IF(K19:K31&gt;0,(K19:K31)))</f>
        <v>-1821.0640000000071</v>
      </c>
      <c r="M28" s="124">
        <f t="shared" si="2"/>
        <v>0</v>
      </c>
      <c r="N28" s="124">
        <f t="shared" si="3"/>
        <v>0</v>
      </c>
      <c r="O28" s="258">
        <f t="shared" si="4"/>
        <v>-6</v>
      </c>
    </row>
    <row r="29" spans="1:15" ht="20" customHeight="1" x14ac:dyDescent="0.15">
      <c r="A29" s="257">
        <v>11</v>
      </c>
      <c r="B29" s="34">
        <f>Sammanställning!B19</f>
        <v>0</v>
      </c>
      <c r="C29" s="39"/>
      <c r="D29" s="40"/>
      <c r="E29" s="129">
        <f>Sammanställning!C19</f>
        <v>0</v>
      </c>
      <c r="F29" s="206"/>
      <c r="G29" s="46"/>
      <c r="H29" s="122"/>
      <c r="I29" s="122"/>
      <c r="J29" s="34">
        <f t="shared" si="0"/>
        <v>0</v>
      </c>
      <c r="K29" s="34">
        <f t="shared" si="1"/>
        <v>0</v>
      </c>
      <c r="L29" s="212">
        <f t="array" ref="L29">K29-MIN(IF(K19:K31&gt;0,(K19:K31)))</f>
        <v>-1821.0640000000071</v>
      </c>
      <c r="M29" s="124">
        <f t="shared" si="2"/>
        <v>0</v>
      </c>
      <c r="N29" s="124">
        <f t="shared" si="3"/>
        <v>0</v>
      </c>
      <c r="O29" s="258">
        <f t="shared" si="4"/>
        <v>-6</v>
      </c>
    </row>
    <row r="30" spans="1:15" ht="20" customHeight="1" thickBot="1" x14ac:dyDescent="0.2">
      <c r="A30" s="259">
        <v>12</v>
      </c>
      <c r="B30" s="216">
        <f>Sammanställning!B20</f>
        <v>0</v>
      </c>
      <c r="C30" s="260"/>
      <c r="D30" s="261"/>
      <c r="E30" s="262">
        <f>Sammanställning!C20</f>
        <v>0</v>
      </c>
      <c r="F30" s="277"/>
      <c r="G30" s="264"/>
      <c r="H30" s="278"/>
      <c r="I30" s="266"/>
      <c r="J30" s="216">
        <f t="shared" si="0"/>
        <v>0</v>
      </c>
      <c r="K30" s="216">
        <f t="shared" si="1"/>
        <v>0</v>
      </c>
      <c r="L30" s="213">
        <f t="array" ref="L30">K30-MIN(IF(K19:K31&gt;0,(K19:K31)))</f>
        <v>-1821.0640000000071</v>
      </c>
      <c r="M30" s="268">
        <f t="shared" si="2"/>
        <v>0</v>
      </c>
      <c r="N30" s="268">
        <f t="shared" si="3"/>
        <v>0</v>
      </c>
      <c r="O30" s="269">
        <f t="shared" si="4"/>
        <v>-6</v>
      </c>
    </row>
    <row r="31" spans="1:15" ht="20" customHeight="1" thickBot="1" x14ac:dyDescent="0.2">
      <c r="A31" s="21">
        <v>13</v>
      </c>
      <c r="B31" s="239">
        <f>Sammanställning!B21</f>
        <v>0</v>
      </c>
      <c r="C31" s="240"/>
      <c r="D31" s="240"/>
      <c r="E31" s="241">
        <f>Sammanställning!C21</f>
        <v>0</v>
      </c>
      <c r="F31" s="272"/>
      <c r="G31" s="24"/>
      <c r="H31" s="273"/>
      <c r="I31" s="243"/>
      <c r="J31" s="239">
        <f t="shared" si="0"/>
        <v>0</v>
      </c>
      <c r="K31" s="239">
        <f t="shared" si="1"/>
        <v>0</v>
      </c>
      <c r="L31" s="315">
        <f t="array" ref="L31">K31-MIN(IF(K19:K31&gt;0,(K19:K31)))</f>
        <v>-1821.0640000000071</v>
      </c>
      <c r="M31" s="245">
        <f t="shared" si="2"/>
        <v>0</v>
      </c>
      <c r="N31" s="245">
        <f t="shared" si="3"/>
        <v>0</v>
      </c>
      <c r="O31" s="246">
        <f t="shared" si="4"/>
        <v>-6</v>
      </c>
    </row>
  </sheetData>
  <sheetProtection selectLockedCells="1" selectUnlockedCells="1"/>
  <mergeCells count="9">
    <mergeCell ref="C8:D8"/>
    <mergeCell ref="L8:O8"/>
    <mergeCell ref="C10:D10"/>
    <mergeCell ref="B2:C2"/>
    <mergeCell ref="C5:D5"/>
    <mergeCell ref="C6:D6"/>
    <mergeCell ref="L6:O6"/>
    <mergeCell ref="C7:D7"/>
    <mergeCell ref="L7:N7"/>
  </mergeCells>
  <phoneticPr fontId="12" type="noConversion"/>
  <printOptions horizontalCentered="1"/>
  <pageMargins left="0" right="0" top="0.19652777777777777" bottom="0.19652777777777777" header="0.51180555555555551" footer="0.51180555555555551"/>
  <pageSetup paperSize="9" firstPageNumber="0" orientation="landscape" horizontalDpi="300" verticalDpi="300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5906C-D35F-7148-BD6D-963D15085A14}">
  <sheetPr codeName="Blad10"/>
  <dimension ref="A1:O31"/>
  <sheetViews>
    <sheetView zoomScaleNormal="100" workbookViewId="0">
      <selection activeCell="O21" sqref="O21"/>
    </sheetView>
  </sheetViews>
  <sheetFormatPr baseColWidth="10" defaultColWidth="9.25" defaultRowHeight="13" x14ac:dyDescent="0.15"/>
  <cols>
    <col min="1" max="1" width="6.75" style="1" customWidth="1"/>
    <col min="2" max="2" width="26" style="1" customWidth="1"/>
    <col min="3" max="3" width="28.25" style="1" customWidth="1"/>
    <col min="4" max="4" width="17.75" style="1" customWidth="1"/>
    <col min="5" max="5" width="14.5" style="1" customWidth="1"/>
    <col min="6" max="6" width="10.75" style="1" customWidth="1"/>
    <col min="7" max="7" width="8.5" style="1" customWidth="1"/>
    <col min="8" max="9" width="13" style="1" customWidth="1"/>
    <col min="10" max="11" width="11.75" style="1" customWidth="1"/>
    <col min="12" max="15" width="8.75" style="1" customWidth="1"/>
    <col min="16" max="16" width="7.75" style="1" customWidth="1"/>
    <col min="17" max="17" width="6.75" style="1" customWidth="1"/>
    <col min="18" max="16384" width="9.25" style="1"/>
  </cols>
  <sheetData>
    <row r="1" spans="1:15" ht="8" customHeight="1" x14ac:dyDescent="0.15"/>
    <row r="2" spans="1:15" ht="25" customHeight="1" x14ac:dyDescent="0.25">
      <c r="A2" s="3"/>
      <c r="G2" s="4" t="str">
        <f>Sammanställning!G2</f>
        <v>HSS Torsdagscup 2026</v>
      </c>
      <c r="H2" s="5"/>
      <c r="I2" s="5"/>
    </row>
    <row r="3" spans="1:15" ht="20" customHeight="1" x14ac:dyDescent="0.2">
      <c r="G3" s="6" t="s">
        <v>81</v>
      </c>
      <c r="H3" s="5"/>
      <c r="I3" s="5"/>
      <c r="J3" s="5"/>
    </row>
    <row r="4" spans="1:15" ht="8" customHeight="1" x14ac:dyDescent="0.2">
      <c r="A4" s="3"/>
    </row>
    <row r="5" spans="1:15" ht="20" customHeight="1" x14ac:dyDescent="0.15">
      <c r="A5" s="62" t="s">
        <v>26</v>
      </c>
      <c r="B5" s="63"/>
      <c r="C5" s="325">
        <v>8</v>
      </c>
      <c r="D5" s="325"/>
      <c r="E5" s="64" t="s">
        <v>27</v>
      </c>
      <c r="F5" s="65"/>
      <c r="G5" s="66"/>
      <c r="H5" s="67" t="s">
        <v>209</v>
      </c>
      <c r="I5" s="68"/>
      <c r="K5" s="69" t="s">
        <v>28</v>
      </c>
      <c r="L5" s="70"/>
      <c r="M5" s="70"/>
      <c r="N5" s="70"/>
      <c r="O5" s="71"/>
    </row>
    <row r="6" spans="1:15" ht="20" customHeight="1" x14ac:dyDescent="0.15">
      <c r="A6" s="72" t="s">
        <v>29</v>
      </c>
      <c r="B6" s="73"/>
      <c r="C6" s="326" t="s">
        <v>208</v>
      </c>
      <c r="D6" s="326"/>
      <c r="E6" s="74" t="s">
        <v>30</v>
      </c>
      <c r="F6" s="75"/>
      <c r="G6" s="76"/>
      <c r="H6" s="77">
        <v>3.17</v>
      </c>
      <c r="I6" s="78" t="s">
        <v>31</v>
      </c>
      <c r="K6" s="79" t="s">
        <v>32</v>
      </c>
      <c r="L6" s="333" t="s">
        <v>199</v>
      </c>
      <c r="M6" s="333"/>
      <c r="N6" s="333"/>
      <c r="O6" s="333"/>
    </row>
    <row r="7" spans="1:15" ht="20" customHeight="1" x14ac:dyDescent="0.15">
      <c r="A7" s="80" t="s">
        <v>33</v>
      </c>
      <c r="B7" s="81"/>
      <c r="C7" s="328">
        <v>46254</v>
      </c>
      <c r="D7" s="328"/>
      <c r="E7" s="82" t="s">
        <v>34</v>
      </c>
      <c r="F7" s="83"/>
      <c r="G7" s="66" t="s">
        <v>35</v>
      </c>
      <c r="H7" s="65"/>
      <c r="I7" s="84" t="s">
        <v>36</v>
      </c>
      <c r="K7" s="85" t="s">
        <v>37</v>
      </c>
      <c r="L7" s="332" t="s">
        <v>204</v>
      </c>
      <c r="M7" s="332"/>
      <c r="N7" s="332"/>
      <c r="O7" s="86" t="s">
        <v>38</v>
      </c>
    </row>
    <row r="8" spans="1:15" ht="20" customHeight="1" x14ac:dyDescent="0.15">
      <c r="A8" s="87" t="s">
        <v>39</v>
      </c>
      <c r="B8" s="88"/>
      <c r="C8" s="330">
        <v>0.76388888888888884</v>
      </c>
      <c r="D8" s="330"/>
      <c r="E8" s="89" t="s">
        <v>40</v>
      </c>
      <c r="G8" s="90"/>
      <c r="H8" s="91"/>
      <c r="I8" s="92"/>
      <c r="K8" s="93" t="s">
        <v>41</v>
      </c>
      <c r="L8" s="334" t="s">
        <v>210</v>
      </c>
      <c r="M8" s="334"/>
      <c r="N8" s="334"/>
      <c r="O8" s="334"/>
    </row>
    <row r="9" spans="1:15" ht="20" customHeight="1" x14ac:dyDescent="0.15">
      <c r="C9" s="5"/>
      <c r="D9" s="58"/>
      <c r="E9" s="94"/>
      <c r="G9" s="90"/>
      <c r="H9" s="91"/>
      <c r="I9" s="92"/>
      <c r="K9" s="62" t="s">
        <v>42</v>
      </c>
      <c r="L9" s="65"/>
      <c r="M9" s="95"/>
      <c r="N9" s="95"/>
      <c r="O9" s="96"/>
    </row>
    <row r="10" spans="1:15" ht="20" customHeight="1" x14ac:dyDescent="0.15">
      <c r="A10" s="69" t="s">
        <v>43</v>
      </c>
      <c r="B10" s="70"/>
      <c r="C10" s="324" t="s">
        <v>167</v>
      </c>
      <c r="D10" s="324"/>
      <c r="E10" s="94"/>
      <c r="G10" s="90" t="s">
        <v>44</v>
      </c>
      <c r="H10" s="91"/>
      <c r="I10" s="92" t="s">
        <v>45</v>
      </c>
      <c r="K10" s="97"/>
      <c r="L10" s="98" t="s">
        <v>46</v>
      </c>
      <c r="M10" s="99" t="s">
        <v>47</v>
      </c>
      <c r="N10" s="98" t="s">
        <v>48</v>
      </c>
      <c r="O10" s="100" t="s">
        <v>49</v>
      </c>
    </row>
    <row r="11" spans="1:15" ht="20" customHeight="1" x14ac:dyDescent="0.15">
      <c r="E11" s="94"/>
      <c r="G11" s="101" t="s">
        <v>50</v>
      </c>
      <c r="H11" s="102"/>
      <c r="I11" s="103" t="s">
        <v>51</v>
      </c>
      <c r="K11" s="104"/>
      <c r="L11" s="27" t="s">
        <v>52</v>
      </c>
      <c r="M11" s="22" t="s">
        <v>9</v>
      </c>
      <c r="N11" s="27" t="s">
        <v>52</v>
      </c>
      <c r="O11" s="105" t="s">
        <v>9</v>
      </c>
    </row>
    <row r="12" spans="1:15" ht="20" customHeight="1" x14ac:dyDescent="0.15">
      <c r="E12" s="94"/>
      <c r="G12" s="101" t="s">
        <v>53</v>
      </c>
      <c r="H12" s="102"/>
      <c r="I12" s="103" t="s">
        <v>54</v>
      </c>
      <c r="K12" s="72" t="s">
        <v>55</v>
      </c>
      <c r="L12" s="106">
        <f>IF(COUNTA($F$19:$F$31)&gt;0,M12*AVERAGE($F$19:$F$31),0)</f>
        <v>0</v>
      </c>
      <c r="M12" s="107"/>
      <c r="N12" s="108">
        <f>IF(COUNTA($F$19:$F$31)&gt;0,O12/AVERAGE($F$19:$F$31),0)</f>
        <v>0</v>
      </c>
      <c r="O12" s="109">
        <f>IF(ISBLANK(M12),0,H6/M12*60)</f>
        <v>0</v>
      </c>
    </row>
    <row r="13" spans="1:15" ht="20" customHeight="1" thickBot="1" x14ac:dyDescent="0.2">
      <c r="D13" s="110"/>
      <c r="E13" s="111"/>
      <c r="F13" s="75"/>
      <c r="G13" s="112" t="s">
        <v>133</v>
      </c>
      <c r="H13" s="113"/>
      <c r="I13" s="114" t="s">
        <v>134</v>
      </c>
      <c r="K13" s="87" t="s">
        <v>56</v>
      </c>
      <c r="L13" s="115">
        <f>IF(SUM(M19:M31)&gt;0,SUMIF(M19:M31,"&gt;0",M19:M31)/COUNTIF(M19:M31,"&gt;0"),0)</f>
        <v>3.9055696296840665</v>
      </c>
      <c r="M13" s="115">
        <f>IF(SUM(M19:M31)&gt;0,SUMIF(N19:N31,"&gt;0",N19:N31)/COUNTIF(N19:N31,"&gt;0"),0)</f>
        <v>4.5982981300110533</v>
      </c>
      <c r="N13" s="53">
        <f>IF(SUM(M19:M31)&gt;0,SUMIF(J19:J31,"&gt;0",J19:J31)/COUNTIF(J19:J31,"&gt;0")/60,0)</f>
        <v>49.002777777777858</v>
      </c>
      <c r="O13" s="116">
        <f>IF(SUM(M19:M31)&gt;0,SUMIF(K19:K31,"&gt;0",K19:K31)/COUNTIF(K19:K31,"&gt;0")/60,0)</f>
        <v>41.428855555555629</v>
      </c>
    </row>
    <row r="14" spans="1:15" ht="5" customHeight="1" thickBot="1" x14ac:dyDescent="0.2"/>
    <row r="15" spans="1:15" ht="20" customHeight="1" x14ac:dyDescent="0.15">
      <c r="A15" s="8" t="s">
        <v>1</v>
      </c>
      <c r="B15" s="9" t="s">
        <v>2</v>
      </c>
      <c r="C15" s="11" t="s">
        <v>57</v>
      </c>
      <c r="D15" s="11" t="s">
        <v>58</v>
      </c>
      <c r="E15" s="11" t="s">
        <v>3</v>
      </c>
      <c r="F15" s="11" t="s">
        <v>59</v>
      </c>
      <c r="G15" s="11" t="s">
        <v>60</v>
      </c>
      <c r="H15" s="11" t="s">
        <v>61</v>
      </c>
      <c r="I15" s="11" t="s">
        <v>62</v>
      </c>
      <c r="J15" s="11" t="s">
        <v>63</v>
      </c>
      <c r="K15" s="11" t="s">
        <v>64</v>
      </c>
      <c r="L15" s="11" t="s">
        <v>65</v>
      </c>
      <c r="M15" s="11" t="s">
        <v>46</v>
      </c>
      <c r="N15" s="11" t="s">
        <v>46</v>
      </c>
      <c r="O15" s="14" t="s">
        <v>66</v>
      </c>
    </row>
    <row r="16" spans="1:15" ht="20" customHeight="1" x14ac:dyDescent="0.15">
      <c r="A16" s="117"/>
      <c r="B16" s="16"/>
      <c r="C16" s="18"/>
      <c r="D16" s="18"/>
      <c r="E16" s="17"/>
      <c r="F16" s="18" t="s">
        <v>67</v>
      </c>
      <c r="G16" s="18" t="s">
        <v>68</v>
      </c>
      <c r="H16" s="18"/>
      <c r="I16" s="18"/>
      <c r="J16" s="18" t="s">
        <v>48</v>
      </c>
      <c r="K16" s="18" t="s">
        <v>69</v>
      </c>
      <c r="L16" s="18" t="s">
        <v>70</v>
      </c>
      <c r="M16" s="18" t="s">
        <v>71</v>
      </c>
      <c r="N16" s="18" t="s">
        <v>71</v>
      </c>
      <c r="O16" s="20"/>
    </row>
    <row r="17" spans="1:15" ht="20" customHeight="1" x14ac:dyDescent="0.15">
      <c r="A17" s="117"/>
      <c r="B17" s="16"/>
      <c r="C17" s="18"/>
      <c r="D17" s="18"/>
      <c r="E17" s="17"/>
      <c r="F17" s="18"/>
      <c r="G17" s="118"/>
      <c r="H17" s="18"/>
      <c r="I17" s="18"/>
      <c r="J17" s="18"/>
      <c r="K17" s="18" t="s">
        <v>48</v>
      </c>
      <c r="L17" s="18"/>
      <c r="M17" s="18" t="s">
        <v>52</v>
      </c>
      <c r="N17" s="18" t="s">
        <v>9</v>
      </c>
      <c r="O17" s="20"/>
    </row>
    <row r="18" spans="1:15" ht="20" customHeight="1" thickBot="1" x14ac:dyDescent="0.2">
      <c r="A18" s="21"/>
      <c r="B18" s="16"/>
      <c r="C18" s="18"/>
      <c r="D18" s="18"/>
      <c r="E18" s="17"/>
      <c r="F18" s="18"/>
      <c r="G18" s="118" t="s">
        <v>72</v>
      </c>
      <c r="H18" s="118" t="s">
        <v>73</v>
      </c>
      <c r="I18" s="118" t="s">
        <v>73</v>
      </c>
      <c r="J18" s="118" t="s">
        <v>74</v>
      </c>
      <c r="K18" s="118" t="s">
        <v>74</v>
      </c>
      <c r="L18" s="118" t="s">
        <v>74</v>
      </c>
      <c r="M18" s="118" t="s">
        <v>47</v>
      </c>
      <c r="N18" s="118" t="s">
        <v>47</v>
      </c>
      <c r="O18" s="20"/>
    </row>
    <row r="19" spans="1:15" ht="20" customHeight="1" x14ac:dyDescent="0.15">
      <c r="A19" s="317">
        <v>1</v>
      </c>
      <c r="B19" s="319" t="str">
        <f>Sammanställning!B9</f>
        <v>Staffan Kerker</v>
      </c>
      <c r="C19" s="248" t="s">
        <v>211</v>
      </c>
      <c r="D19" s="284"/>
      <c r="E19" s="275">
        <f>Sammanställning!C9</f>
        <v>707</v>
      </c>
      <c r="F19" s="276">
        <v>0.86799999999999999</v>
      </c>
      <c r="G19" s="251"/>
      <c r="H19" s="252">
        <v>0.76388888888888884</v>
      </c>
      <c r="I19" s="252">
        <v>0.79693287037037042</v>
      </c>
      <c r="J19" s="253">
        <f t="shared" ref="J19:J31" si="0">IF(I19&gt;0,(I19-H19)*24*3600,0)</f>
        <v>2855.0000000000082</v>
      </c>
      <c r="K19" s="253">
        <f t="shared" ref="K19:K31" si="1">J19*F19</f>
        <v>2478.1400000000071</v>
      </c>
      <c r="L19" s="316">
        <f t="array" ref="L19">K19-MIN(IF(K19:K31&gt;0,(K19:K31)))</f>
        <v>177.07200000000284</v>
      </c>
      <c r="M19" s="255">
        <f t="shared" ref="M19:M31" si="2">IF(J19&gt;0,$H$6/J19*3600,0)</f>
        <v>3.9971978984238068</v>
      </c>
      <c r="N19" s="255">
        <f t="shared" ref="N19:N31" si="3">IF(K19&gt;0,M19/F19,0)</f>
        <v>4.6050667032532333</v>
      </c>
      <c r="O19" s="256">
        <f t="shared" ref="O19:O31" si="4">RANK(K19,$K$19:$K$31,1)-COUNTIF($K$19:$K$31,0)</f>
        <v>2</v>
      </c>
    </row>
    <row r="20" spans="1:15" ht="20" customHeight="1" x14ac:dyDescent="0.15">
      <c r="A20" s="318">
        <v>2</v>
      </c>
      <c r="B20" s="320" t="str">
        <f>Sammanställning!B10</f>
        <v>Jan-Erik Jonsson</v>
      </c>
      <c r="C20" s="39" t="s">
        <v>212</v>
      </c>
      <c r="D20" s="217"/>
      <c r="E20" s="129">
        <f>Sammanställning!C10</f>
        <v>707</v>
      </c>
      <c r="F20" s="206">
        <v>0.86799999999999999</v>
      </c>
      <c r="G20" s="46"/>
      <c r="H20" s="122">
        <v>0.76388888888888884</v>
      </c>
      <c r="I20" s="122">
        <v>0.79731481481481481</v>
      </c>
      <c r="J20" s="34">
        <f t="shared" si="0"/>
        <v>2888.0000000000036</v>
      </c>
      <c r="K20" s="34">
        <f t="shared" si="1"/>
        <v>2506.7840000000033</v>
      </c>
      <c r="L20" s="212">
        <f t="array" ref="L20">K20-MIN(IF(K19:K31&gt;0,(K19:K31)))</f>
        <v>205.71599999999899</v>
      </c>
      <c r="M20" s="124">
        <f t="shared" si="2"/>
        <v>3.9515235457063658</v>
      </c>
      <c r="N20" s="124">
        <f t="shared" si="3"/>
        <v>4.5524464812285323</v>
      </c>
      <c r="O20" s="258">
        <f t="shared" si="4"/>
        <v>4</v>
      </c>
    </row>
    <row r="21" spans="1:15" ht="20" customHeight="1" x14ac:dyDescent="0.15">
      <c r="A21" s="318">
        <v>3</v>
      </c>
      <c r="B21" s="320" t="str">
        <f>Sammanställning!B11</f>
        <v>Tobjörn Herbertsson</v>
      </c>
      <c r="C21" s="39" t="s">
        <v>161</v>
      </c>
      <c r="D21" s="40"/>
      <c r="E21" s="129">
        <f>Sammanställning!C11</f>
        <v>707</v>
      </c>
      <c r="F21" s="206">
        <v>0.86799999999999999</v>
      </c>
      <c r="G21" s="46"/>
      <c r="H21" s="122">
        <v>0.76388888888888884</v>
      </c>
      <c r="I21" s="122">
        <v>0.79457175925925927</v>
      </c>
      <c r="J21" s="34">
        <f t="shared" si="0"/>
        <v>2651.000000000005</v>
      </c>
      <c r="K21" s="34">
        <f t="shared" si="1"/>
        <v>2301.0680000000043</v>
      </c>
      <c r="L21" s="212">
        <f t="array" ref="L21">K21-MIN(IF(K19:K31&gt;0,(K19:K31)))</f>
        <v>0</v>
      </c>
      <c r="M21" s="124">
        <f t="shared" si="2"/>
        <v>4.3047906450395992</v>
      </c>
      <c r="N21" s="124">
        <f t="shared" si="3"/>
        <v>4.9594362270041463</v>
      </c>
      <c r="O21" s="280">
        <f t="shared" si="4"/>
        <v>1</v>
      </c>
    </row>
    <row r="22" spans="1:15" ht="20" customHeight="1" x14ac:dyDescent="0.15">
      <c r="A22" s="318">
        <v>4</v>
      </c>
      <c r="B22" s="320" t="str">
        <f>Sammanställning!B12</f>
        <v>Urban Thim</v>
      </c>
      <c r="C22" s="39" t="s">
        <v>162</v>
      </c>
      <c r="D22" s="40"/>
      <c r="E22" s="129" t="str">
        <f>Sammanställning!C12</f>
        <v>707U</v>
      </c>
      <c r="F22" s="206">
        <v>0.86799999999999999</v>
      </c>
      <c r="G22" s="46"/>
      <c r="H22" s="122">
        <v>0.76388888888888884</v>
      </c>
      <c r="I22" s="122">
        <v>0.79701388888888891</v>
      </c>
      <c r="J22" s="34">
        <f t="shared" si="0"/>
        <v>2862.0000000000064</v>
      </c>
      <c r="K22" s="34">
        <f t="shared" si="1"/>
        <v>2484.2160000000054</v>
      </c>
      <c r="L22" s="212">
        <f t="array" ref="L22">K22-MIN(IF(K19:K31&gt;0,(K19:K31)))</f>
        <v>183.14800000000105</v>
      </c>
      <c r="M22" s="124">
        <f t="shared" si="2"/>
        <v>3.9874213836477899</v>
      </c>
      <c r="N22" s="124">
        <f t="shared" si="3"/>
        <v>4.5938034373822463</v>
      </c>
      <c r="O22" s="258">
        <f t="shared" si="4"/>
        <v>3</v>
      </c>
    </row>
    <row r="23" spans="1:15" ht="20" customHeight="1" x14ac:dyDescent="0.15">
      <c r="A23" s="318">
        <v>5</v>
      </c>
      <c r="B23" s="320" t="str">
        <f>Sammanställning!B13</f>
        <v>Lars Berglund</v>
      </c>
      <c r="C23" s="39" t="s">
        <v>163</v>
      </c>
      <c r="D23" s="127"/>
      <c r="E23" s="129" t="str">
        <f>Sammanställning!C13</f>
        <v>Maxi Magic</v>
      </c>
      <c r="F23" s="206">
        <v>0.85199999999999998</v>
      </c>
      <c r="G23" s="46"/>
      <c r="H23" s="122">
        <v>0.76388888888888884</v>
      </c>
      <c r="I23" s="122">
        <v>0.79797453703703702</v>
      </c>
      <c r="J23" s="34">
        <f t="shared" si="0"/>
        <v>2945.0000000000032</v>
      </c>
      <c r="K23" s="34">
        <f t="shared" si="1"/>
        <v>2509.1400000000026</v>
      </c>
      <c r="L23" s="212">
        <f t="array" ref="L23">K23-MIN(IF(K19:K31&gt;0,(K19:K31)))</f>
        <v>208.0719999999983</v>
      </c>
      <c r="M23" s="124">
        <f t="shared" si="2"/>
        <v>3.8750424448217275</v>
      </c>
      <c r="N23" s="124">
        <f t="shared" si="3"/>
        <v>4.5481718835935769</v>
      </c>
      <c r="O23" s="258">
        <f t="shared" si="4"/>
        <v>5</v>
      </c>
    </row>
    <row r="24" spans="1:15" ht="20" customHeight="1" x14ac:dyDescent="0.15">
      <c r="A24" s="318">
        <v>6</v>
      </c>
      <c r="B24" s="320" t="str">
        <f>Sammanställning!B14</f>
        <v>Ingmar Olsson</v>
      </c>
      <c r="C24" s="210"/>
      <c r="D24" s="127"/>
      <c r="E24" s="129" t="str">
        <f>Sammanställning!C14</f>
        <v>Avanti</v>
      </c>
      <c r="F24" s="206"/>
      <c r="G24" s="46"/>
      <c r="H24" s="211" t="s">
        <v>178</v>
      </c>
      <c r="I24" s="122"/>
      <c r="J24" s="34">
        <f t="shared" si="0"/>
        <v>0</v>
      </c>
      <c r="K24" s="34">
        <f t="shared" si="1"/>
        <v>0</v>
      </c>
      <c r="L24" s="212">
        <f t="array" ref="L24">K24-MIN(IF(K19:K31&gt;0,(K19:K31)))</f>
        <v>-2301.0680000000043</v>
      </c>
      <c r="M24" s="124">
        <f t="shared" si="2"/>
        <v>0</v>
      </c>
      <c r="N24" s="124">
        <f t="shared" si="3"/>
        <v>0</v>
      </c>
      <c r="O24" s="281">
        <v>7</v>
      </c>
    </row>
    <row r="25" spans="1:15" ht="20" customHeight="1" x14ac:dyDescent="0.15">
      <c r="A25" s="318">
        <v>7</v>
      </c>
      <c r="B25" s="320" t="str">
        <f>Sammanställning!B15</f>
        <v>Erik Andersson</v>
      </c>
      <c r="C25" s="210"/>
      <c r="D25" s="40"/>
      <c r="E25" s="129" t="str">
        <f>Sammanställning!C15</f>
        <v>Elan 210</v>
      </c>
      <c r="F25" s="206"/>
      <c r="G25" s="46"/>
      <c r="H25" s="211" t="s">
        <v>178</v>
      </c>
      <c r="I25" s="122"/>
      <c r="J25" s="34">
        <f t="shared" si="0"/>
        <v>0</v>
      </c>
      <c r="K25" s="34">
        <f t="shared" si="1"/>
        <v>0</v>
      </c>
      <c r="L25" s="212">
        <f t="array" ref="L25">K25-MIN(IF(K19:K31&gt;0,(K19:K31)))</f>
        <v>-2301.0680000000043</v>
      </c>
      <c r="M25" s="124">
        <f t="shared" si="2"/>
        <v>0</v>
      </c>
      <c r="N25" s="124">
        <f t="shared" si="3"/>
        <v>0</v>
      </c>
      <c r="O25" s="281">
        <v>7</v>
      </c>
    </row>
    <row r="26" spans="1:15" ht="20" customHeight="1" x14ac:dyDescent="0.15">
      <c r="A26" s="318">
        <v>8</v>
      </c>
      <c r="B26" s="320" t="str">
        <f>Sammanställning!B16</f>
        <v>Magnus Nilsson</v>
      </c>
      <c r="C26" s="39"/>
      <c r="D26" s="40"/>
      <c r="E26" s="129" t="str">
        <f>Sammanställning!C16</f>
        <v>Viggen</v>
      </c>
      <c r="F26" s="206">
        <v>0.76600000000000001</v>
      </c>
      <c r="G26" s="46"/>
      <c r="H26" s="122">
        <v>0.76388888888888884</v>
      </c>
      <c r="I26" s="122">
        <v>0.8037037037037037</v>
      </c>
      <c r="J26" s="34">
        <f t="shared" si="0"/>
        <v>3440.0000000000036</v>
      </c>
      <c r="K26" s="34">
        <f t="shared" si="1"/>
        <v>2635.0400000000027</v>
      </c>
      <c r="L26" s="212">
        <f t="array" ref="L26">K26-MIN(IF(K19:K31&gt;0,(K19:K31)))</f>
        <v>333.97199999999839</v>
      </c>
      <c r="M26" s="124">
        <f t="shared" si="2"/>
        <v>3.3174418604651126</v>
      </c>
      <c r="N26" s="124">
        <f t="shared" si="3"/>
        <v>4.3308640476045852</v>
      </c>
      <c r="O26" s="258">
        <f t="shared" si="4"/>
        <v>6</v>
      </c>
    </row>
    <row r="27" spans="1:15" ht="20" customHeight="1" x14ac:dyDescent="0.15">
      <c r="A27" s="318">
        <v>9</v>
      </c>
      <c r="B27" s="320">
        <f>Sammanställning!B17</f>
        <v>0</v>
      </c>
      <c r="C27" s="39"/>
      <c r="D27" s="40"/>
      <c r="E27" s="129">
        <f>Sammanställning!C17</f>
        <v>0</v>
      </c>
      <c r="F27" s="206"/>
      <c r="G27" s="46"/>
      <c r="H27" s="211"/>
      <c r="I27" s="122"/>
      <c r="J27" s="34">
        <f t="shared" si="0"/>
        <v>0</v>
      </c>
      <c r="K27" s="34">
        <f t="shared" si="1"/>
        <v>0</v>
      </c>
      <c r="L27" s="212">
        <f t="array" ref="L27">K27-MIN(IF(K19:K31&gt;0,(K19:K31)))</f>
        <v>-2301.0680000000043</v>
      </c>
      <c r="M27" s="124">
        <f t="shared" si="2"/>
        <v>0</v>
      </c>
      <c r="N27" s="124">
        <f t="shared" si="3"/>
        <v>0</v>
      </c>
      <c r="O27" s="258">
        <f t="shared" si="4"/>
        <v>-6</v>
      </c>
    </row>
    <row r="28" spans="1:15" ht="20" customHeight="1" x14ac:dyDescent="0.15">
      <c r="A28" s="318">
        <v>10</v>
      </c>
      <c r="B28" s="320">
        <f>Sammanställning!B18</f>
        <v>0</v>
      </c>
      <c r="C28" s="39"/>
      <c r="D28" s="40"/>
      <c r="E28" s="129">
        <f>Sammanställning!C18</f>
        <v>0</v>
      </c>
      <c r="F28" s="206"/>
      <c r="G28" s="46"/>
      <c r="H28" s="122"/>
      <c r="I28" s="122"/>
      <c r="J28" s="34">
        <f t="shared" si="0"/>
        <v>0</v>
      </c>
      <c r="K28" s="34">
        <f t="shared" si="1"/>
        <v>0</v>
      </c>
      <c r="L28" s="212">
        <f t="array" ref="L28">K28-MIN(IF(K19:K31&gt;0,(K19:K31)))</f>
        <v>-2301.0680000000043</v>
      </c>
      <c r="M28" s="124">
        <f t="shared" si="2"/>
        <v>0</v>
      </c>
      <c r="N28" s="124">
        <f t="shared" si="3"/>
        <v>0</v>
      </c>
      <c r="O28" s="258">
        <f t="shared" si="4"/>
        <v>-6</v>
      </c>
    </row>
    <row r="29" spans="1:15" ht="20" customHeight="1" x14ac:dyDescent="0.15">
      <c r="A29" s="318">
        <v>11</v>
      </c>
      <c r="B29" s="320">
        <f>Sammanställning!B19</f>
        <v>0</v>
      </c>
      <c r="C29" s="39"/>
      <c r="D29" s="40"/>
      <c r="E29" s="129">
        <f>Sammanställning!C19</f>
        <v>0</v>
      </c>
      <c r="F29" s="206"/>
      <c r="G29" s="46"/>
      <c r="H29" s="122"/>
      <c r="I29" s="122"/>
      <c r="J29" s="34">
        <f t="shared" si="0"/>
        <v>0</v>
      </c>
      <c r="K29" s="34">
        <f t="shared" si="1"/>
        <v>0</v>
      </c>
      <c r="L29" s="212">
        <f t="array" ref="L29">K29-MIN(IF(K19:K31&gt;0,(K19:K31)))</f>
        <v>-2301.0680000000043</v>
      </c>
      <c r="M29" s="124">
        <f t="shared" si="2"/>
        <v>0</v>
      </c>
      <c r="N29" s="124">
        <f t="shared" si="3"/>
        <v>0</v>
      </c>
      <c r="O29" s="258">
        <f t="shared" si="4"/>
        <v>-6</v>
      </c>
    </row>
    <row r="30" spans="1:15" ht="20" customHeight="1" thickBot="1" x14ac:dyDescent="0.2">
      <c r="A30" s="318">
        <v>12</v>
      </c>
      <c r="B30" s="321">
        <f>Sammanställning!B20</f>
        <v>0</v>
      </c>
      <c r="C30" s="260"/>
      <c r="D30" s="261"/>
      <c r="E30" s="262">
        <f>Sammanställning!C20</f>
        <v>0</v>
      </c>
      <c r="F30" s="277"/>
      <c r="G30" s="264"/>
      <c r="H30" s="278"/>
      <c r="I30" s="266"/>
      <c r="J30" s="216">
        <f t="shared" si="0"/>
        <v>0</v>
      </c>
      <c r="K30" s="216">
        <f t="shared" si="1"/>
        <v>0</v>
      </c>
      <c r="L30" s="213">
        <f t="array" ref="L30">K30-MIN(IF(K19:K31&gt;0,(K19:K31)))</f>
        <v>-2301.0680000000043</v>
      </c>
      <c r="M30" s="268">
        <f t="shared" si="2"/>
        <v>0</v>
      </c>
      <c r="N30" s="268">
        <f t="shared" si="3"/>
        <v>0</v>
      </c>
      <c r="O30" s="269">
        <f t="shared" si="4"/>
        <v>-6</v>
      </c>
    </row>
    <row r="31" spans="1:15" ht="20" customHeight="1" thickBot="1" x14ac:dyDescent="0.2">
      <c r="A31" s="47">
        <v>13</v>
      </c>
      <c r="B31" s="239">
        <f>Sammanställning!B21</f>
        <v>0</v>
      </c>
      <c r="C31" s="240"/>
      <c r="D31" s="240"/>
      <c r="E31" s="241">
        <f>Sammanställning!C21</f>
        <v>0</v>
      </c>
      <c r="F31" s="272"/>
      <c r="G31" s="24"/>
      <c r="H31" s="273"/>
      <c r="I31" s="243"/>
      <c r="J31" s="239">
        <f t="shared" si="0"/>
        <v>0</v>
      </c>
      <c r="K31" s="239">
        <f t="shared" si="1"/>
        <v>0</v>
      </c>
      <c r="L31" s="315">
        <f t="array" ref="L31">K31-MIN(IF(K19:K31&gt;0,(K19:K31)))</f>
        <v>-2301.0680000000043</v>
      </c>
      <c r="M31" s="245">
        <f t="shared" si="2"/>
        <v>0</v>
      </c>
      <c r="N31" s="245">
        <f t="shared" si="3"/>
        <v>0</v>
      </c>
      <c r="O31" s="246">
        <f t="shared" si="4"/>
        <v>-6</v>
      </c>
    </row>
  </sheetData>
  <sheetProtection selectLockedCells="1" selectUnlockedCells="1"/>
  <mergeCells count="8">
    <mergeCell ref="C10:D10"/>
    <mergeCell ref="C5:D5"/>
    <mergeCell ref="C6:D6"/>
    <mergeCell ref="L6:O6"/>
    <mergeCell ref="C7:D7"/>
    <mergeCell ref="L7:N7"/>
    <mergeCell ref="C8:D8"/>
    <mergeCell ref="L8:O8"/>
  </mergeCells>
  <phoneticPr fontId="12" type="noConversion"/>
  <printOptions horizontalCentered="1"/>
  <pageMargins left="0" right="0" top="0.19652777777777777" bottom="0.19652777777777777" header="0.51180555555555551" footer="0.51180555555555551"/>
  <pageSetup paperSize="9" firstPageNumber="0" orientation="landscape" horizontalDpi="300" verticalDpi="30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C4478-32F9-EE43-AE3A-773640B152C8}">
  <sheetPr codeName="Blad11"/>
  <dimension ref="A1:O31"/>
  <sheetViews>
    <sheetView zoomScale="110" zoomScaleNormal="110" workbookViewId="0">
      <selection activeCell="H7" sqref="H7"/>
    </sheetView>
  </sheetViews>
  <sheetFormatPr baseColWidth="10" defaultColWidth="9.25" defaultRowHeight="13" x14ac:dyDescent="0.15"/>
  <cols>
    <col min="1" max="1" width="6.75" style="1" customWidth="1"/>
    <col min="2" max="3" width="25" style="1" customWidth="1"/>
    <col min="4" max="4" width="17.75" style="1" customWidth="1"/>
    <col min="5" max="5" width="16.75" style="1" customWidth="1"/>
    <col min="6" max="6" width="9.25" style="1" customWidth="1"/>
    <col min="7" max="7" width="8" style="1" customWidth="1"/>
    <col min="8" max="9" width="13.75" style="1" customWidth="1"/>
    <col min="10" max="11" width="11.75" style="1" customWidth="1"/>
    <col min="12" max="15" width="8.75" style="1" customWidth="1"/>
    <col min="16" max="16" width="7.75" style="1" customWidth="1"/>
    <col min="17" max="17" width="6.75" style="1" customWidth="1"/>
    <col min="18" max="16384" width="9.25" style="1"/>
  </cols>
  <sheetData>
    <row r="1" spans="1:15" ht="9" customHeight="1" x14ac:dyDescent="0.15"/>
    <row r="2" spans="1:15" ht="25" customHeight="1" x14ac:dyDescent="0.25">
      <c r="A2" s="3"/>
      <c r="G2" s="4" t="str">
        <f>Sammanställning!G2</f>
        <v>HSS Torsdagscup 2026</v>
      </c>
      <c r="H2" s="5"/>
      <c r="I2" s="5"/>
    </row>
    <row r="3" spans="1:15" ht="20" customHeight="1" x14ac:dyDescent="0.2">
      <c r="G3" s="6" t="s">
        <v>82</v>
      </c>
      <c r="H3" s="5"/>
      <c r="I3" s="5"/>
      <c r="J3" s="5"/>
    </row>
    <row r="4" spans="1:15" ht="8" customHeight="1" x14ac:dyDescent="0.2">
      <c r="A4" s="3"/>
    </row>
    <row r="5" spans="1:15" ht="20" customHeight="1" x14ac:dyDescent="0.15">
      <c r="A5" s="62" t="s">
        <v>26</v>
      </c>
      <c r="B5" s="63"/>
      <c r="C5" s="325">
        <v>9</v>
      </c>
      <c r="D5" s="325"/>
      <c r="E5" s="64" t="s">
        <v>27</v>
      </c>
      <c r="F5" s="65"/>
      <c r="G5" s="66"/>
      <c r="H5" s="65" t="s">
        <v>214</v>
      </c>
      <c r="I5" s="203"/>
      <c r="K5" s="69" t="s">
        <v>28</v>
      </c>
      <c r="L5" s="70"/>
      <c r="M5" s="70"/>
      <c r="N5" s="70"/>
      <c r="O5" s="71"/>
    </row>
    <row r="6" spans="1:15" ht="20" customHeight="1" x14ac:dyDescent="0.15">
      <c r="A6" s="72" t="s">
        <v>29</v>
      </c>
      <c r="B6" s="73"/>
      <c r="C6" s="326" t="s">
        <v>208</v>
      </c>
      <c r="D6" s="326"/>
      <c r="E6" s="74" t="s">
        <v>30</v>
      </c>
      <c r="F6" s="75"/>
      <c r="G6" s="76"/>
      <c r="H6" s="77">
        <v>3.31</v>
      </c>
      <c r="I6" s="78" t="s">
        <v>31</v>
      </c>
      <c r="K6" s="79" t="s">
        <v>32</v>
      </c>
      <c r="L6" s="327"/>
      <c r="M6" s="327"/>
      <c r="N6" s="327"/>
      <c r="O6" s="327"/>
    </row>
    <row r="7" spans="1:15" ht="20" customHeight="1" x14ac:dyDescent="0.15">
      <c r="A7" s="80" t="s">
        <v>33</v>
      </c>
      <c r="B7" s="81"/>
      <c r="C7" s="328">
        <v>46261</v>
      </c>
      <c r="D7" s="328"/>
      <c r="E7" s="82" t="s">
        <v>34</v>
      </c>
      <c r="F7" s="83"/>
      <c r="G7" s="66" t="s">
        <v>35</v>
      </c>
      <c r="H7" s="65"/>
      <c r="I7" s="84" t="s">
        <v>36</v>
      </c>
      <c r="K7" s="85" t="s">
        <v>37</v>
      </c>
      <c r="L7" s="332"/>
      <c r="M7" s="332"/>
      <c r="N7" s="332"/>
      <c r="O7" s="86" t="s">
        <v>38</v>
      </c>
    </row>
    <row r="8" spans="1:15" ht="20" customHeight="1" x14ac:dyDescent="0.15">
      <c r="A8" s="87" t="s">
        <v>39</v>
      </c>
      <c r="B8" s="88"/>
      <c r="C8" s="330">
        <v>0.76388888888888884</v>
      </c>
      <c r="D8" s="330"/>
      <c r="E8" s="89" t="s">
        <v>40</v>
      </c>
      <c r="G8" s="90"/>
      <c r="H8" s="91"/>
      <c r="I8" s="92"/>
      <c r="K8" s="93" t="s">
        <v>41</v>
      </c>
      <c r="L8" s="331"/>
      <c r="M8" s="331"/>
      <c r="N8" s="331"/>
      <c r="O8" s="331"/>
    </row>
    <row r="9" spans="1:15" ht="14" customHeight="1" x14ac:dyDescent="0.15">
      <c r="C9" s="5"/>
      <c r="D9" s="58"/>
      <c r="E9" s="94"/>
      <c r="G9" s="90"/>
      <c r="H9" s="91"/>
      <c r="I9" s="92"/>
      <c r="K9" s="62" t="s">
        <v>42</v>
      </c>
      <c r="L9" s="65"/>
      <c r="M9" s="95"/>
      <c r="N9" s="95"/>
      <c r="O9" s="96"/>
    </row>
    <row r="10" spans="1:15" ht="20" customHeight="1" x14ac:dyDescent="0.15">
      <c r="A10" s="69" t="s">
        <v>43</v>
      </c>
      <c r="B10" s="70"/>
      <c r="C10" s="324" t="s">
        <v>167</v>
      </c>
      <c r="D10" s="324"/>
      <c r="E10" s="94"/>
      <c r="G10" s="90" t="s">
        <v>44</v>
      </c>
      <c r="H10" s="91"/>
      <c r="I10" s="92" t="s">
        <v>45</v>
      </c>
      <c r="K10" s="97"/>
      <c r="L10" s="98" t="s">
        <v>46</v>
      </c>
      <c r="M10" s="99" t="s">
        <v>47</v>
      </c>
      <c r="N10" s="98" t="s">
        <v>48</v>
      </c>
      <c r="O10" s="100" t="s">
        <v>49</v>
      </c>
    </row>
    <row r="11" spans="1:15" ht="20" customHeight="1" x14ac:dyDescent="0.15">
      <c r="E11" s="94"/>
      <c r="G11" s="101" t="s">
        <v>50</v>
      </c>
      <c r="H11" s="102"/>
      <c r="I11" s="103" t="s">
        <v>51</v>
      </c>
      <c r="K11" s="104"/>
      <c r="L11" s="27" t="s">
        <v>52</v>
      </c>
      <c r="M11" s="22" t="s">
        <v>9</v>
      </c>
      <c r="N11" s="27" t="s">
        <v>52</v>
      </c>
      <c r="O11" s="105" t="s">
        <v>9</v>
      </c>
    </row>
    <row r="12" spans="1:15" ht="20" customHeight="1" x14ac:dyDescent="0.15">
      <c r="E12" s="94"/>
      <c r="G12" s="101" t="s">
        <v>53</v>
      </c>
      <c r="H12" s="102"/>
      <c r="I12" s="103" t="s">
        <v>54</v>
      </c>
      <c r="K12" s="72" t="s">
        <v>55</v>
      </c>
      <c r="L12" s="106">
        <f>IF(COUNTA($F$19:$F$31)&gt;0,M12*AVERAGE($F$19:$F$31),0)</f>
        <v>0</v>
      </c>
      <c r="M12" s="107"/>
      <c r="N12" s="108">
        <f>IF(COUNTA($F$19:$F$31)&gt;0,O12/AVERAGE($F$19:$F$31),0)</f>
        <v>0</v>
      </c>
      <c r="O12" s="109">
        <f>IF(ISBLANK(M12),0,H6/M12*60)</f>
        <v>0</v>
      </c>
    </row>
    <row r="13" spans="1:15" ht="20" customHeight="1" thickBot="1" x14ac:dyDescent="0.2">
      <c r="D13" s="110"/>
      <c r="E13" s="111"/>
      <c r="F13" s="75"/>
      <c r="G13" s="112" t="s">
        <v>133</v>
      </c>
      <c r="H13" s="113"/>
      <c r="I13" s="114" t="s">
        <v>134</v>
      </c>
      <c r="K13" s="87" t="s">
        <v>56</v>
      </c>
      <c r="L13" s="115">
        <f>IF(SUM(M19:M31)&gt;0,SUMIF(M19:M31,"&gt;0",M19:M31)/COUNTIF(M19:M31,"&gt;0"),0)</f>
        <v>4.2265118076932628</v>
      </c>
      <c r="M13" s="115">
        <f>IF(SUM(M19:M31)&gt;0,SUMIF(N19:N31,"&gt;0",N19:N31)/COUNTIF(N19:N31,"&gt;0"),0)</f>
        <v>4.9961304068964836</v>
      </c>
      <c r="N13" s="53">
        <f>IF(SUM(M19:M31)&gt;0,SUMIF(J19:J31,"&gt;0",J19:J31)/COUNTIF(J19:J31,"&gt;0")/60,0)</f>
        <v>47.373333333333285</v>
      </c>
      <c r="O13" s="116">
        <f>IF(SUM(M19:M31)&gt;0,SUMIF(K19:K31,"&gt;0",K19:K31)/COUNTIF(K19:K31,"&gt;0")/60,0)</f>
        <v>39.824633333333281</v>
      </c>
    </row>
    <row r="14" spans="1:15" ht="5" customHeight="1" thickBot="1" x14ac:dyDescent="0.2"/>
    <row r="15" spans="1:15" ht="20" customHeight="1" x14ac:dyDescent="0.15">
      <c r="A15" s="8" t="s">
        <v>1</v>
      </c>
      <c r="B15" s="9" t="s">
        <v>2</v>
      </c>
      <c r="C15" s="11" t="s">
        <v>57</v>
      </c>
      <c r="D15" s="11" t="s">
        <v>58</v>
      </c>
      <c r="E15" s="11" t="s">
        <v>3</v>
      </c>
      <c r="F15" s="11" t="s">
        <v>59</v>
      </c>
      <c r="G15" s="11" t="s">
        <v>60</v>
      </c>
      <c r="H15" s="11" t="s">
        <v>61</v>
      </c>
      <c r="I15" s="11" t="s">
        <v>62</v>
      </c>
      <c r="J15" s="11" t="s">
        <v>63</v>
      </c>
      <c r="K15" s="11" t="s">
        <v>64</v>
      </c>
      <c r="L15" s="11" t="s">
        <v>65</v>
      </c>
      <c r="M15" s="11" t="s">
        <v>46</v>
      </c>
      <c r="N15" s="11" t="s">
        <v>46</v>
      </c>
      <c r="O15" s="14" t="s">
        <v>66</v>
      </c>
    </row>
    <row r="16" spans="1:15" ht="20" customHeight="1" x14ac:dyDescent="0.15">
      <c r="A16" s="117"/>
      <c r="B16" s="16"/>
      <c r="C16" s="18"/>
      <c r="D16" s="18"/>
      <c r="E16" s="17"/>
      <c r="F16" s="18" t="s">
        <v>67</v>
      </c>
      <c r="G16" s="18" t="s">
        <v>68</v>
      </c>
      <c r="H16" s="18"/>
      <c r="I16" s="18"/>
      <c r="J16" s="18" t="s">
        <v>48</v>
      </c>
      <c r="K16" s="18" t="s">
        <v>69</v>
      </c>
      <c r="L16" s="18" t="s">
        <v>70</v>
      </c>
      <c r="M16" s="18" t="s">
        <v>71</v>
      </c>
      <c r="N16" s="18" t="s">
        <v>71</v>
      </c>
      <c r="O16" s="20"/>
    </row>
    <row r="17" spans="1:15" ht="20" customHeight="1" x14ac:dyDescent="0.15">
      <c r="A17" s="117"/>
      <c r="B17" s="16"/>
      <c r="C17" s="18"/>
      <c r="D17" s="18"/>
      <c r="E17" s="17"/>
      <c r="F17" s="18"/>
      <c r="G17" s="118"/>
      <c r="H17" s="18"/>
      <c r="I17" s="18"/>
      <c r="J17" s="18"/>
      <c r="K17" s="18" t="s">
        <v>48</v>
      </c>
      <c r="L17" s="18"/>
      <c r="M17" s="18" t="s">
        <v>52</v>
      </c>
      <c r="N17" s="18" t="s">
        <v>9</v>
      </c>
      <c r="O17" s="20"/>
    </row>
    <row r="18" spans="1:15" ht="20" customHeight="1" thickBot="1" x14ac:dyDescent="0.2">
      <c r="A18" s="117"/>
      <c r="B18" s="16"/>
      <c r="C18" s="18"/>
      <c r="D18" s="18"/>
      <c r="E18" s="17"/>
      <c r="F18" s="18"/>
      <c r="G18" s="118" t="s">
        <v>72</v>
      </c>
      <c r="H18" s="118" t="s">
        <v>73</v>
      </c>
      <c r="I18" s="118" t="s">
        <v>73</v>
      </c>
      <c r="J18" s="118" t="s">
        <v>74</v>
      </c>
      <c r="K18" s="118" t="s">
        <v>74</v>
      </c>
      <c r="L18" s="118" t="s">
        <v>74</v>
      </c>
      <c r="M18" s="118" t="s">
        <v>47</v>
      </c>
      <c r="N18" s="118" t="s">
        <v>47</v>
      </c>
      <c r="O18" s="20"/>
    </row>
    <row r="19" spans="1:15" ht="20" customHeight="1" x14ac:dyDescent="0.15">
      <c r="A19" s="247">
        <v>1</v>
      </c>
      <c r="B19" s="253" t="str">
        <f>Sammanställning!B9</f>
        <v>Staffan Kerker</v>
      </c>
      <c r="C19" s="248" t="s">
        <v>160</v>
      </c>
      <c r="D19" s="284"/>
      <c r="E19" s="275">
        <f>Sammanställning!C9</f>
        <v>707</v>
      </c>
      <c r="F19" s="276">
        <v>0.86799999999999999</v>
      </c>
      <c r="G19" s="251">
        <v>6</v>
      </c>
      <c r="H19" s="252">
        <v>0.7680555555555556</v>
      </c>
      <c r="I19" s="252">
        <v>0.79953703703703705</v>
      </c>
      <c r="J19" s="253">
        <f t="shared" ref="J19:J31" si="0">IF(I19&gt;0,(I19-H19)*24*3600,0)</f>
        <v>2719.9999999999968</v>
      </c>
      <c r="K19" s="253">
        <f t="shared" ref="K19:K31" si="1">J19*F19</f>
        <v>2360.9599999999973</v>
      </c>
      <c r="L19" s="316">
        <f t="array" ref="L19">K19-MIN(IF(K19:K31&gt;0,(K19:K31)))</f>
        <v>97.216000000004442</v>
      </c>
      <c r="M19" s="255">
        <f t="shared" ref="M19:M31" si="2">IF(J19&gt;0,$H$6/J19*3600,0)</f>
        <v>4.3808823529411818</v>
      </c>
      <c r="N19" s="255">
        <f t="shared" ref="N19:N31" si="3">IF(K19&gt;0,M19/F19,0)</f>
        <v>5.0470994849552788</v>
      </c>
      <c r="O19" s="256">
        <f>RANK(K19,$K$19:$K$31,1)-COUNTIF($K$19:$K$31,0)</f>
        <v>3</v>
      </c>
    </row>
    <row r="20" spans="1:15" ht="20" customHeight="1" x14ac:dyDescent="0.15">
      <c r="A20" s="257">
        <v>2</v>
      </c>
      <c r="B20" s="34" t="str">
        <f>Sammanställning!B10</f>
        <v>Jan-Erik Jonsson</v>
      </c>
      <c r="C20" s="39"/>
      <c r="D20" s="40"/>
      <c r="E20" s="129">
        <f>Sammanställning!C10</f>
        <v>707</v>
      </c>
      <c r="F20" s="206"/>
      <c r="G20" s="46"/>
      <c r="H20" s="211" t="s">
        <v>178</v>
      </c>
      <c r="I20" s="122"/>
      <c r="J20" s="34">
        <f t="shared" si="0"/>
        <v>0</v>
      </c>
      <c r="K20" s="34">
        <f t="shared" si="1"/>
        <v>0</v>
      </c>
      <c r="L20" s="212">
        <f t="array" ref="L20">K20-MIN(IF(K19:K31&gt;0,(K19:K31)))</f>
        <v>-2263.7439999999929</v>
      </c>
      <c r="M20" s="124">
        <f t="shared" si="2"/>
        <v>0</v>
      </c>
      <c r="N20" s="124">
        <f>IF(K20&gt;0,M20/F20,0)</f>
        <v>0</v>
      </c>
      <c r="O20" s="281">
        <v>6</v>
      </c>
    </row>
    <row r="21" spans="1:15" ht="20" customHeight="1" x14ac:dyDescent="0.15">
      <c r="A21" s="257">
        <v>3</v>
      </c>
      <c r="B21" s="34" t="str">
        <f>Sammanställning!B11</f>
        <v>Tobjörn Herbertsson</v>
      </c>
      <c r="C21" s="39" t="s">
        <v>161</v>
      </c>
      <c r="D21" s="40"/>
      <c r="E21" s="129">
        <f>Sammanställning!C11</f>
        <v>707</v>
      </c>
      <c r="F21" s="206">
        <v>0.86799999999999999</v>
      </c>
      <c r="G21" s="46">
        <v>6</v>
      </c>
      <c r="H21" s="122">
        <v>0.7680555555555556</v>
      </c>
      <c r="I21" s="122">
        <v>0.7982407407407407</v>
      </c>
      <c r="J21" s="34">
        <f t="shared" si="0"/>
        <v>2607.9999999999918</v>
      </c>
      <c r="K21" s="34">
        <f t="shared" si="1"/>
        <v>2263.7439999999929</v>
      </c>
      <c r="L21" s="212">
        <f t="array" ref="L21">K21-MIN(IF(K19:K31&gt;0,(K19:K31)))</f>
        <v>0</v>
      </c>
      <c r="M21" s="124">
        <f t="shared" si="2"/>
        <v>4.5690184049079896</v>
      </c>
      <c r="N21" s="124">
        <f t="shared" si="3"/>
        <v>5.2638460886036746</v>
      </c>
      <c r="O21" s="322">
        <f t="shared" ref="O21:O31" si="4">RANK(K21,$K$19:$K$31,1)-COUNTIF($K$19:$K$31,0)</f>
        <v>1</v>
      </c>
    </row>
    <row r="22" spans="1:15" ht="20" customHeight="1" x14ac:dyDescent="0.15">
      <c r="A22" s="257">
        <v>4</v>
      </c>
      <c r="B22" s="34" t="str">
        <f>Sammanställning!B12</f>
        <v>Urban Thim</v>
      </c>
      <c r="C22" s="39" t="s">
        <v>207</v>
      </c>
      <c r="D22" s="40"/>
      <c r="E22" s="129" t="str">
        <f>Sammanställning!C12</f>
        <v>707U</v>
      </c>
      <c r="F22" s="206">
        <v>0.86799999999999999</v>
      </c>
      <c r="G22" s="46">
        <v>6</v>
      </c>
      <c r="H22" s="122">
        <v>0.7680555555555556</v>
      </c>
      <c r="I22" s="122">
        <v>0.79946759259259259</v>
      </c>
      <c r="J22" s="34">
        <f t="shared" si="0"/>
        <v>2713.9999999999959</v>
      </c>
      <c r="K22" s="34">
        <f t="shared" si="1"/>
        <v>2355.7519999999963</v>
      </c>
      <c r="L22" s="212">
        <f t="array" ref="L22">K22-MIN(IF(K19:K31&gt;0,(K19:K31)))</f>
        <v>92.008000000003449</v>
      </c>
      <c r="M22" s="124">
        <f t="shared" si="2"/>
        <v>4.3905674281503382</v>
      </c>
      <c r="N22" s="124">
        <f t="shared" si="3"/>
        <v>5.0582574057031549</v>
      </c>
      <c r="O22" s="258">
        <f t="shared" si="4"/>
        <v>2</v>
      </c>
    </row>
    <row r="23" spans="1:15" ht="20" customHeight="1" x14ac:dyDescent="0.15">
      <c r="A23" s="257">
        <v>5</v>
      </c>
      <c r="B23" s="34" t="str">
        <f>Sammanställning!B13</f>
        <v>Lars Berglund</v>
      </c>
      <c r="C23" s="39" t="s">
        <v>163</v>
      </c>
      <c r="D23" s="127"/>
      <c r="E23" s="129" t="str">
        <f>Sammanställning!C13</f>
        <v>Maxi Magic</v>
      </c>
      <c r="F23" s="206">
        <v>0.85199999999999998</v>
      </c>
      <c r="G23" s="46">
        <v>5</v>
      </c>
      <c r="H23" s="122">
        <v>0.76736111111111116</v>
      </c>
      <c r="I23" s="122">
        <v>0.79975694444444445</v>
      </c>
      <c r="J23" s="34">
        <f t="shared" si="0"/>
        <v>2798.9999999999964</v>
      </c>
      <c r="K23" s="34">
        <f t="shared" si="1"/>
        <v>2384.7479999999969</v>
      </c>
      <c r="L23" s="212">
        <f t="array" ref="L23">K23-MIN(IF(K19:K31&gt;0,(K19:K31)))</f>
        <v>121.004000000004</v>
      </c>
      <c r="M23" s="124">
        <f t="shared" si="2"/>
        <v>4.2572347266881083</v>
      </c>
      <c r="N23" s="124">
        <f t="shared" si="3"/>
        <v>4.9967543740470752</v>
      </c>
      <c r="O23" s="258">
        <f t="shared" si="4"/>
        <v>4</v>
      </c>
    </row>
    <row r="24" spans="1:15" ht="20" customHeight="1" x14ac:dyDescent="0.15">
      <c r="A24" s="257">
        <v>6</v>
      </c>
      <c r="B24" s="34" t="str">
        <f>Sammanställning!B14</f>
        <v>Ingmar Olsson</v>
      </c>
      <c r="C24" s="39"/>
      <c r="D24" s="127"/>
      <c r="E24" s="129" t="str">
        <f>Sammanställning!C14</f>
        <v>Avanti</v>
      </c>
      <c r="F24" s="206"/>
      <c r="G24" s="46"/>
      <c r="H24" s="211" t="s">
        <v>178</v>
      </c>
      <c r="I24" s="122"/>
      <c r="J24" s="34">
        <f t="shared" si="0"/>
        <v>0</v>
      </c>
      <c r="K24" s="34">
        <f t="shared" si="1"/>
        <v>0</v>
      </c>
      <c r="L24" s="212">
        <f t="array" ref="L24">K24-MIN(IF(K19:K31&gt;0,(K19:K31)))</f>
        <v>-2263.7439999999929</v>
      </c>
      <c r="M24" s="124">
        <f t="shared" si="2"/>
        <v>0</v>
      </c>
      <c r="N24" s="124">
        <f t="shared" si="3"/>
        <v>0</v>
      </c>
      <c r="O24" s="281">
        <v>6</v>
      </c>
    </row>
    <row r="25" spans="1:15" ht="20" customHeight="1" x14ac:dyDescent="0.15">
      <c r="A25" s="257">
        <v>7</v>
      </c>
      <c r="B25" s="34" t="str">
        <f>Sammanställning!B15</f>
        <v>Erik Andersson</v>
      </c>
      <c r="C25" s="210"/>
      <c r="D25" s="40"/>
      <c r="E25" s="129" t="str">
        <f>Sammanställning!C15</f>
        <v>Elan 210</v>
      </c>
      <c r="F25" s="206"/>
      <c r="G25" s="46"/>
      <c r="H25" s="211" t="s">
        <v>178</v>
      </c>
      <c r="I25" s="122"/>
      <c r="J25" s="34">
        <f t="shared" si="0"/>
        <v>0</v>
      </c>
      <c r="K25" s="34">
        <f t="shared" si="1"/>
        <v>0</v>
      </c>
      <c r="L25" s="212">
        <f t="array" ref="L25">K25-MIN(IF(K19:K31&gt;0,(K19:K31)))</f>
        <v>-2263.7439999999929</v>
      </c>
      <c r="M25" s="124">
        <f t="shared" si="2"/>
        <v>0</v>
      </c>
      <c r="N25" s="124">
        <f t="shared" si="3"/>
        <v>0</v>
      </c>
      <c r="O25" s="281">
        <v>6</v>
      </c>
    </row>
    <row r="26" spans="1:15" ht="20" customHeight="1" x14ac:dyDescent="0.15">
      <c r="A26" s="257">
        <v>8</v>
      </c>
      <c r="B26" s="34" t="str">
        <f>Sammanställning!B16</f>
        <v>Magnus Nilsson</v>
      </c>
      <c r="C26" s="39" t="s">
        <v>213</v>
      </c>
      <c r="D26" s="40"/>
      <c r="E26" s="129" t="str">
        <f>Sammanställning!C16</f>
        <v>Viggen</v>
      </c>
      <c r="F26" s="206">
        <v>0.76600000000000001</v>
      </c>
      <c r="G26" s="46">
        <v>0</v>
      </c>
      <c r="H26" s="122">
        <v>0.76388888888888884</v>
      </c>
      <c r="I26" s="122">
        <v>0.80290509259259257</v>
      </c>
      <c r="J26" s="34">
        <f t="shared" si="0"/>
        <v>3371.0000000000027</v>
      </c>
      <c r="K26" s="34">
        <f t="shared" si="1"/>
        <v>2582.186000000002</v>
      </c>
      <c r="L26" s="212">
        <f t="array" ref="L26">K26-MIN(IF(K19:K31&gt;0,(K19:K31)))</f>
        <v>318.4420000000091</v>
      </c>
      <c r="M26" s="124">
        <f t="shared" si="2"/>
        <v>3.5348561257786981</v>
      </c>
      <c r="N26" s="124">
        <f t="shared" si="3"/>
        <v>4.6146946811732352</v>
      </c>
      <c r="O26" s="258">
        <f t="shared" si="4"/>
        <v>5</v>
      </c>
    </row>
    <row r="27" spans="1:15" ht="20" customHeight="1" x14ac:dyDescent="0.15">
      <c r="A27" s="257">
        <v>9</v>
      </c>
      <c r="B27" s="34">
        <f>Sammanställning!B17</f>
        <v>0</v>
      </c>
      <c r="C27" s="39"/>
      <c r="D27" s="40"/>
      <c r="E27" s="129">
        <f>Sammanställning!C17</f>
        <v>0</v>
      </c>
      <c r="F27" s="206"/>
      <c r="G27" s="46"/>
      <c r="H27" s="211"/>
      <c r="I27" s="122"/>
      <c r="J27" s="34">
        <f t="shared" si="0"/>
        <v>0</v>
      </c>
      <c r="K27" s="34">
        <f t="shared" si="1"/>
        <v>0</v>
      </c>
      <c r="L27" s="212">
        <f t="array" ref="L27">K27-MIN(IF(K19:K31&gt;0,(K19:K31)))</f>
        <v>-2263.7439999999929</v>
      </c>
      <c r="M27" s="124">
        <f t="shared" si="2"/>
        <v>0</v>
      </c>
      <c r="N27" s="124">
        <f t="shared" si="3"/>
        <v>0</v>
      </c>
      <c r="O27" s="258">
        <f t="shared" si="4"/>
        <v>-7</v>
      </c>
    </row>
    <row r="28" spans="1:15" ht="20" customHeight="1" x14ac:dyDescent="0.15">
      <c r="A28" s="257">
        <v>10</v>
      </c>
      <c r="B28" s="34">
        <f>Sammanställning!B18</f>
        <v>0</v>
      </c>
      <c r="C28" s="39"/>
      <c r="D28" s="40"/>
      <c r="E28" s="129">
        <f>Sammanställning!C18</f>
        <v>0</v>
      </c>
      <c r="F28" s="206"/>
      <c r="G28" s="46"/>
      <c r="H28" s="122"/>
      <c r="I28" s="122"/>
      <c r="J28" s="34">
        <f t="shared" si="0"/>
        <v>0</v>
      </c>
      <c r="K28" s="34">
        <f t="shared" si="1"/>
        <v>0</v>
      </c>
      <c r="L28" s="212">
        <f t="array" ref="L28">K28-MIN(IF(K19:K31&gt;0,(K19:K31)))</f>
        <v>-2263.7439999999929</v>
      </c>
      <c r="M28" s="124">
        <f t="shared" si="2"/>
        <v>0</v>
      </c>
      <c r="N28" s="124">
        <f t="shared" si="3"/>
        <v>0</v>
      </c>
      <c r="O28" s="258">
        <f t="shared" si="4"/>
        <v>-7</v>
      </c>
    </row>
    <row r="29" spans="1:15" ht="20" customHeight="1" x14ac:dyDescent="0.15">
      <c r="A29" s="257">
        <v>11</v>
      </c>
      <c r="B29" s="34">
        <f>Sammanställning!B19</f>
        <v>0</v>
      </c>
      <c r="C29" s="39"/>
      <c r="D29" s="40"/>
      <c r="E29" s="129">
        <f>Sammanställning!C19</f>
        <v>0</v>
      </c>
      <c r="F29" s="206"/>
      <c r="G29" s="46"/>
      <c r="H29" s="122"/>
      <c r="I29" s="122"/>
      <c r="J29" s="34">
        <f t="shared" si="0"/>
        <v>0</v>
      </c>
      <c r="K29" s="34">
        <f t="shared" si="1"/>
        <v>0</v>
      </c>
      <c r="L29" s="212">
        <f t="array" ref="L29">K29-MIN(IF(K19:K31&gt;0,(K19:K31)))</f>
        <v>-2263.7439999999929</v>
      </c>
      <c r="M29" s="124">
        <f t="shared" si="2"/>
        <v>0</v>
      </c>
      <c r="N29" s="124">
        <v>0</v>
      </c>
      <c r="O29" s="258">
        <f t="shared" si="4"/>
        <v>-7</v>
      </c>
    </row>
    <row r="30" spans="1:15" ht="20" customHeight="1" thickBot="1" x14ac:dyDescent="0.2">
      <c r="A30" s="259">
        <v>12</v>
      </c>
      <c r="B30" s="216">
        <f>Sammanställning!B20</f>
        <v>0</v>
      </c>
      <c r="C30" s="260"/>
      <c r="D30" s="261"/>
      <c r="E30" s="262">
        <f>Sammanställning!C20</f>
        <v>0</v>
      </c>
      <c r="F30" s="277"/>
      <c r="G30" s="264"/>
      <c r="H30" s="278"/>
      <c r="I30" s="266"/>
      <c r="J30" s="216">
        <f t="shared" si="0"/>
        <v>0</v>
      </c>
      <c r="K30" s="216">
        <f t="shared" si="1"/>
        <v>0</v>
      </c>
      <c r="L30" s="216">
        <f t="array" ref="L30">K30-MIN(IF(K19:K31&gt;0,(K19:K31)))</f>
        <v>-2263.7439999999929</v>
      </c>
      <c r="M30" s="268">
        <f t="shared" si="2"/>
        <v>0</v>
      </c>
      <c r="N30" s="268">
        <f t="shared" si="3"/>
        <v>0</v>
      </c>
      <c r="O30" s="269">
        <f t="shared" si="4"/>
        <v>-7</v>
      </c>
    </row>
    <row r="31" spans="1:15" ht="20" customHeight="1" thickBot="1" x14ac:dyDescent="0.2">
      <c r="A31" s="21">
        <v>13</v>
      </c>
      <c r="B31" s="239">
        <f>Sammanställning!B21</f>
        <v>0</v>
      </c>
      <c r="C31" s="240"/>
      <c r="D31" s="240"/>
      <c r="E31" s="241">
        <f>Sammanställning!C21</f>
        <v>0</v>
      </c>
      <c r="F31" s="272"/>
      <c r="G31" s="24"/>
      <c r="H31" s="273"/>
      <c r="I31" s="243"/>
      <c r="J31" s="239">
        <f t="shared" si="0"/>
        <v>0</v>
      </c>
      <c r="K31" s="239">
        <f t="shared" si="1"/>
        <v>0</v>
      </c>
      <c r="L31" s="239">
        <f t="array" ref="L31">K31-MIN(IF(K19:K31&gt;0,(K19:K31)))</f>
        <v>-2263.7439999999929</v>
      </c>
      <c r="M31" s="245">
        <f t="shared" si="2"/>
        <v>0</v>
      </c>
      <c r="N31" s="245">
        <f t="shared" si="3"/>
        <v>0</v>
      </c>
      <c r="O31" s="246">
        <f t="shared" si="4"/>
        <v>-7</v>
      </c>
    </row>
  </sheetData>
  <sheetProtection selectLockedCells="1" selectUnlockedCells="1"/>
  <mergeCells count="8">
    <mergeCell ref="C10:D10"/>
    <mergeCell ref="C5:D5"/>
    <mergeCell ref="C6:D6"/>
    <mergeCell ref="L6:O6"/>
    <mergeCell ref="C7:D7"/>
    <mergeCell ref="L7:N7"/>
    <mergeCell ref="C8:D8"/>
    <mergeCell ref="L8:O8"/>
  </mergeCells>
  <phoneticPr fontId="12" type="noConversion"/>
  <printOptions horizontalCentered="1"/>
  <pageMargins left="0" right="0" top="0.19652777777777777" bottom="0.19652777777777777" header="0.51180555555555551" footer="0.51180555555555551"/>
  <pageSetup paperSize="9" firstPageNumber="0" orientation="landscape" horizontalDpi="4294967293" verticalDpi="4294967293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5A9BE-B51F-344C-9DC3-7B03F2C64AD9}">
  <sheetPr codeName="Blad12"/>
  <dimension ref="A1:O31"/>
  <sheetViews>
    <sheetView zoomScaleNormal="100" workbookViewId="0">
      <selection activeCell="I21" sqref="I21"/>
    </sheetView>
  </sheetViews>
  <sheetFormatPr baseColWidth="10" defaultColWidth="9.25" defaultRowHeight="13" x14ac:dyDescent="0.15"/>
  <cols>
    <col min="1" max="1" width="6.75" style="1" customWidth="1"/>
    <col min="2" max="2" width="25.5" style="1" customWidth="1"/>
    <col min="3" max="3" width="24" style="1" customWidth="1"/>
    <col min="4" max="4" width="17.75" style="1" customWidth="1"/>
    <col min="5" max="5" width="15.25" style="1" customWidth="1"/>
    <col min="6" max="6" width="9.5" style="1" customWidth="1"/>
    <col min="7" max="7" width="9.25" style="1" customWidth="1"/>
    <col min="8" max="8" width="13.25" style="1" customWidth="1"/>
    <col min="9" max="9" width="13" style="1" customWidth="1"/>
    <col min="10" max="11" width="11.75" style="1" customWidth="1"/>
    <col min="12" max="15" width="8.75" style="1" customWidth="1"/>
    <col min="16" max="16" width="7.75" style="1" customWidth="1"/>
    <col min="17" max="17" width="6.75" style="1" customWidth="1"/>
    <col min="18" max="16384" width="9.25" style="1"/>
  </cols>
  <sheetData>
    <row r="1" spans="1:15" ht="7" customHeight="1" x14ac:dyDescent="0.15"/>
    <row r="2" spans="1:15" ht="25" customHeight="1" x14ac:dyDescent="0.25">
      <c r="A2" s="3"/>
      <c r="G2" s="4" t="str">
        <f>Sammanställning!G2</f>
        <v>HSS Torsdagscup 2026</v>
      </c>
      <c r="H2" s="5"/>
      <c r="I2" s="5"/>
    </row>
    <row r="3" spans="1:15" ht="20" customHeight="1" x14ac:dyDescent="0.2">
      <c r="G3" s="6" t="s">
        <v>83</v>
      </c>
      <c r="H3" s="5"/>
      <c r="I3" s="5"/>
      <c r="J3" s="5"/>
    </row>
    <row r="4" spans="1:15" ht="7" customHeight="1" x14ac:dyDescent="0.2">
      <c r="A4" s="3"/>
    </row>
    <row r="5" spans="1:15" ht="20" customHeight="1" x14ac:dyDescent="0.15">
      <c r="A5" s="62" t="s">
        <v>26</v>
      </c>
      <c r="B5" s="63"/>
      <c r="C5" s="325">
        <v>10</v>
      </c>
      <c r="D5" s="325"/>
      <c r="E5" s="64" t="s">
        <v>27</v>
      </c>
      <c r="F5" s="65"/>
      <c r="G5" s="66"/>
      <c r="H5" s="67"/>
      <c r="I5" s="68"/>
      <c r="K5" s="69" t="s">
        <v>28</v>
      </c>
      <c r="L5" s="70"/>
      <c r="M5" s="70"/>
      <c r="N5" s="70"/>
      <c r="O5" s="71"/>
    </row>
    <row r="6" spans="1:15" ht="20" customHeight="1" x14ac:dyDescent="0.15">
      <c r="A6" s="72" t="s">
        <v>29</v>
      </c>
      <c r="B6" s="73"/>
      <c r="C6" s="326" t="s">
        <v>208</v>
      </c>
      <c r="D6" s="326"/>
      <c r="E6" s="74" t="s">
        <v>30</v>
      </c>
      <c r="F6" s="75"/>
      <c r="G6" s="76"/>
      <c r="H6" s="77"/>
      <c r="I6" s="78" t="s">
        <v>31</v>
      </c>
      <c r="K6" s="79" t="s">
        <v>32</v>
      </c>
      <c r="L6" s="327"/>
      <c r="M6" s="327"/>
      <c r="N6" s="327"/>
      <c r="O6" s="327"/>
    </row>
    <row r="7" spans="1:15" ht="20" customHeight="1" x14ac:dyDescent="0.15">
      <c r="A7" s="80" t="s">
        <v>33</v>
      </c>
      <c r="B7" s="81"/>
      <c r="C7" s="328">
        <v>46268</v>
      </c>
      <c r="D7" s="328"/>
      <c r="E7" s="82" t="s">
        <v>34</v>
      </c>
      <c r="F7" s="83"/>
      <c r="G7" s="66" t="s">
        <v>35</v>
      </c>
      <c r="H7" s="65"/>
      <c r="I7" s="84" t="s">
        <v>36</v>
      </c>
      <c r="K7" s="85" t="s">
        <v>37</v>
      </c>
      <c r="L7" s="332"/>
      <c r="M7" s="332"/>
      <c r="N7" s="332"/>
      <c r="O7" s="86" t="s">
        <v>38</v>
      </c>
    </row>
    <row r="8" spans="1:15" ht="20" customHeight="1" x14ac:dyDescent="0.15">
      <c r="A8" s="87" t="s">
        <v>39</v>
      </c>
      <c r="B8" s="88"/>
      <c r="C8" s="330">
        <v>0.76388888888888884</v>
      </c>
      <c r="D8" s="330"/>
      <c r="E8" s="89" t="s">
        <v>40</v>
      </c>
      <c r="G8" s="90"/>
      <c r="H8" s="91"/>
      <c r="I8" s="92"/>
      <c r="K8" s="93" t="s">
        <v>41</v>
      </c>
      <c r="L8" s="331"/>
      <c r="M8" s="331"/>
      <c r="N8" s="331"/>
      <c r="O8" s="331"/>
    </row>
    <row r="9" spans="1:15" ht="14" customHeight="1" x14ac:dyDescent="0.15">
      <c r="C9" s="5"/>
      <c r="D9" s="58"/>
      <c r="E9" s="94"/>
      <c r="G9" s="90"/>
      <c r="H9" s="91"/>
      <c r="I9" s="92"/>
      <c r="K9" s="62" t="s">
        <v>42</v>
      </c>
      <c r="L9" s="65"/>
      <c r="M9" s="95"/>
      <c r="N9" s="95"/>
      <c r="O9" s="96"/>
    </row>
    <row r="10" spans="1:15" ht="20" customHeight="1" x14ac:dyDescent="0.15">
      <c r="A10" s="69" t="s">
        <v>43</v>
      </c>
      <c r="B10" s="70"/>
      <c r="C10" s="324" t="s">
        <v>167</v>
      </c>
      <c r="D10" s="324"/>
      <c r="E10" s="94"/>
      <c r="G10" s="90" t="s">
        <v>44</v>
      </c>
      <c r="H10" s="91"/>
      <c r="I10" s="92" t="s">
        <v>45</v>
      </c>
      <c r="K10" s="97"/>
      <c r="L10" s="98" t="s">
        <v>46</v>
      </c>
      <c r="M10" s="99" t="s">
        <v>47</v>
      </c>
      <c r="N10" s="98" t="s">
        <v>48</v>
      </c>
      <c r="O10" s="100" t="s">
        <v>49</v>
      </c>
    </row>
    <row r="11" spans="1:15" ht="20" customHeight="1" x14ac:dyDescent="0.15">
      <c r="E11" s="94"/>
      <c r="G11" s="101" t="s">
        <v>50</v>
      </c>
      <c r="H11" s="102"/>
      <c r="I11" s="103" t="s">
        <v>51</v>
      </c>
      <c r="K11" s="104"/>
      <c r="L11" s="27" t="s">
        <v>52</v>
      </c>
      <c r="M11" s="22" t="s">
        <v>9</v>
      </c>
      <c r="N11" s="27" t="s">
        <v>52</v>
      </c>
      <c r="O11" s="105" t="s">
        <v>9</v>
      </c>
    </row>
    <row r="12" spans="1:15" ht="20" customHeight="1" x14ac:dyDescent="0.15">
      <c r="E12" s="94"/>
      <c r="G12" s="101" t="s">
        <v>53</v>
      </c>
      <c r="H12" s="102"/>
      <c r="I12" s="103" t="s">
        <v>54</v>
      </c>
      <c r="K12" s="72" t="s">
        <v>55</v>
      </c>
      <c r="L12" s="106">
        <f>IF(COUNTA($F$19:$F$31)&gt;0,M12*AVERAGE($F$19:$F$31),0)</f>
        <v>0</v>
      </c>
      <c r="M12" s="107"/>
      <c r="N12" s="108">
        <f>IF(COUNTA($F$19:$F$31)&gt;0,O12/AVERAGE($F$19:$F$31),0)</f>
        <v>0</v>
      </c>
      <c r="O12" s="109">
        <f>IF(ISBLANK(M12),0,H6/M12*60)</f>
        <v>0</v>
      </c>
    </row>
    <row r="13" spans="1:15" ht="20" customHeight="1" thickBot="1" x14ac:dyDescent="0.2">
      <c r="D13" s="110"/>
      <c r="E13" s="111"/>
      <c r="F13" s="75"/>
      <c r="G13" s="112" t="s">
        <v>133</v>
      </c>
      <c r="H13" s="113"/>
      <c r="I13" s="114" t="s">
        <v>134</v>
      </c>
      <c r="K13" s="87" t="s">
        <v>56</v>
      </c>
      <c r="L13" s="115">
        <f>IF(SUM(M19:M31)&gt;0,SUMIF(M19:M31,"&gt;0",M19:M31)/COUNTIF(M19:M31,"&gt;0"),0)</f>
        <v>0</v>
      </c>
      <c r="M13" s="115">
        <f>IF(SUM(M19:M31)&gt;0,SUMIF(N19:N31,"&gt;0",N19:N31)/COUNTIF(N19:N31,"&gt;0"),0)</f>
        <v>0</v>
      </c>
      <c r="N13" s="53">
        <f>IF(SUM(M19:M31)&gt;0,SUMIF(J19:J31,"&gt;0",J19:J31)/COUNTIF(J19:J31,"&gt;0")/60,0)</f>
        <v>0</v>
      </c>
      <c r="O13" s="116">
        <f>IF(SUM(M19:M31)&gt;0,SUMIF(K19:K31,"&gt;0",K19:K31)/COUNTIF(K19:K31,"&gt;0")/60,0)</f>
        <v>0</v>
      </c>
    </row>
    <row r="14" spans="1:15" ht="5" customHeight="1" thickBot="1" x14ac:dyDescent="0.2"/>
    <row r="15" spans="1:15" ht="20" customHeight="1" x14ac:dyDescent="0.15">
      <c r="A15" s="8" t="s">
        <v>1</v>
      </c>
      <c r="B15" s="9" t="s">
        <v>2</v>
      </c>
      <c r="C15" s="11" t="s">
        <v>57</v>
      </c>
      <c r="D15" s="11" t="s">
        <v>58</v>
      </c>
      <c r="E15" s="11" t="s">
        <v>3</v>
      </c>
      <c r="F15" s="11" t="s">
        <v>59</v>
      </c>
      <c r="G15" s="11" t="s">
        <v>60</v>
      </c>
      <c r="H15" s="11" t="s">
        <v>61</v>
      </c>
      <c r="I15" s="11" t="s">
        <v>62</v>
      </c>
      <c r="J15" s="11" t="s">
        <v>63</v>
      </c>
      <c r="K15" s="11" t="s">
        <v>64</v>
      </c>
      <c r="L15" s="11" t="s">
        <v>65</v>
      </c>
      <c r="M15" s="11" t="s">
        <v>46</v>
      </c>
      <c r="N15" s="11" t="s">
        <v>46</v>
      </c>
      <c r="O15" s="14" t="s">
        <v>66</v>
      </c>
    </row>
    <row r="16" spans="1:15" ht="20" customHeight="1" x14ac:dyDescent="0.15">
      <c r="A16" s="117"/>
      <c r="B16" s="16"/>
      <c r="C16" s="18"/>
      <c r="D16" s="18"/>
      <c r="E16" s="17"/>
      <c r="F16" s="18" t="s">
        <v>67</v>
      </c>
      <c r="G16" s="18" t="s">
        <v>68</v>
      </c>
      <c r="H16" s="18"/>
      <c r="I16" s="18"/>
      <c r="J16" s="18" t="s">
        <v>48</v>
      </c>
      <c r="K16" s="18" t="s">
        <v>69</v>
      </c>
      <c r="L16" s="18" t="s">
        <v>70</v>
      </c>
      <c r="M16" s="18" t="s">
        <v>71</v>
      </c>
      <c r="N16" s="18" t="s">
        <v>71</v>
      </c>
      <c r="O16" s="20"/>
    </row>
    <row r="17" spans="1:15" ht="20" customHeight="1" x14ac:dyDescent="0.15">
      <c r="A17" s="117"/>
      <c r="B17" s="16"/>
      <c r="C17" s="18"/>
      <c r="D17" s="18"/>
      <c r="E17" s="17"/>
      <c r="F17" s="18"/>
      <c r="G17" s="118"/>
      <c r="H17" s="18"/>
      <c r="I17" s="18"/>
      <c r="J17" s="18"/>
      <c r="K17" s="18" t="s">
        <v>48</v>
      </c>
      <c r="L17" s="18"/>
      <c r="M17" s="18" t="s">
        <v>52</v>
      </c>
      <c r="N17" s="18" t="s">
        <v>9</v>
      </c>
      <c r="O17" s="20"/>
    </row>
    <row r="18" spans="1:15" ht="20" customHeight="1" thickBot="1" x14ac:dyDescent="0.2">
      <c r="A18" s="117"/>
      <c r="B18" s="16"/>
      <c r="C18" s="18"/>
      <c r="D18" s="18"/>
      <c r="E18" s="17"/>
      <c r="F18" s="18"/>
      <c r="G18" s="118" t="s">
        <v>72</v>
      </c>
      <c r="H18" s="118" t="s">
        <v>73</v>
      </c>
      <c r="I18" s="118" t="s">
        <v>73</v>
      </c>
      <c r="J18" s="118" t="s">
        <v>74</v>
      </c>
      <c r="K18" s="118" t="s">
        <v>74</v>
      </c>
      <c r="L18" s="118" t="s">
        <v>74</v>
      </c>
      <c r="M18" s="118" t="s">
        <v>47</v>
      </c>
      <c r="N18" s="118" t="s">
        <v>47</v>
      </c>
      <c r="O18" s="20"/>
    </row>
    <row r="19" spans="1:15" ht="20" customHeight="1" x14ac:dyDescent="0.15">
      <c r="A19" s="247">
        <v>1</v>
      </c>
      <c r="B19" s="253" t="str">
        <f>Sammanställning!B9</f>
        <v>Staffan Kerker</v>
      </c>
      <c r="C19" s="248" t="s">
        <v>215</v>
      </c>
      <c r="D19" s="249"/>
      <c r="E19" s="275">
        <f>Sammanställning!C9</f>
        <v>707</v>
      </c>
      <c r="F19" s="276">
        <v>0.86799999999999999</v>
      </c>
      <c r="G19" s="251"/>
      <c r="H19" s="252">
        <v>0.76388888888888884</v>
      </c>
      <c r="I19" s="252">
        <v>0.80109953703703707</v>
      </c>
      <c r="J19" s="253">
        <f t="shared" ref="J19:J31" si="0">IF(I19&gt;0,(I19-H19)*24*3600,0)</f>
        <v>3215.0000000000068</v>
      </c>
      <c r="K19" s="253">
        <f t="shared" ref="K19:K31" si="1">J19*F19</f>
        <v>2790.6200000000058</v>
      </c>
      <c r="L19" s="316">
        <f t="array" ref="L19">K19-MIN(IF(K19:K31&gt;0,(K19:K31)))</f>
        <v>160.58000000000266</v>
      </c>
      <c r="M19" s="255">
        <f t="shared" ref="M19:M31" si="2">IF(J19&gt;0,$H$6/J19*3600,0)</f>
        <v>0</v>
      </c>
      <c r="N19" s="255">
        <f t="shared" ref="N19:N31" si="3">IF(K19&gt;0,M19/F19,0)</f>
        <v>0</v>
      </c>
      <c r="O19" s="256">
        <f t="shared" ref="O19:O31" si="4">RANK(K19,$K$19:$K$31,1)-COUNTIF($K$19:$K$31,0)</f>
        <v>3</v>
      </c>
    </row>
    <row r="20" spans="1:15" ht="20" customHeight="1" x14ac:dyDescent="0.15">
      <c r="A20" s="257">
        <v>2</v>
      </c>
      <c r="B20" s="34" t="str">
        <f>Sammanställning!B10</f>
        <v>Jan-Erik Jonsson</v>
      </c>
      <c r="C20" s="39"/>
      <c r="D20" s="40"/>
      <c r="E20" s="129">
        <f>Sammanställning!C10</f>
        <v>707</v>
      </c>
      <c r="F20" s="206">
        <v>0.86799999999999999</v>
      </c>
      <c r="G20" s="46"/>
      <c r="H20" s="122">
        <v>0.76388888888888884</v>
      </c>
      <c r="I20" s="122">
        <v>0.81753472222222223</v>
      </c>
      <c r="J20" s="34">
        <f t="shared" si="0"/>
        <v>4635.0000000000055</v>
      </c>
      <c r="K20" s="34">
        <f t="shared" si="1"/>
        <v>4023.1800000000048</v>
      </c>
      <c r="L20" s="212">
        <f t="array" ref="L20">K20-MIN(IF(K19:K31&gt;0,(K19:K31)))</f>
        <v>1393.1400000000017</v>
      </c>
      <c r="M20" s="124">
        <f t="shared" si="2"/>
        <v>0</v>
      </c>
      <c r="N20" s="124">
        <f t="shared" si="3"/>
        <v>0</v>
      </c>
      <c r="O20" s="258">
        <f t="shared" si="4"/>
        <v>5</v>
      </c>
    </row>
    <row r="21" spans="1:15" ht="20" customHeight="1" x14ac:dyDescent="0.15">
      <c r="A21" s="257">
        <v>3</v>
      </c>
      <c r="B21" s="34" t="str">
        <f>Sammanställning!B11</f>
        <v>Tobjörn Herbertsson</v>
      </c>
      <c r="C21" s="39" t="s">
        <v>161</v>
      </c>
      <c r="D21" s="40"/>
      <c r="E21" s="129">
        <f>Sammanställning!C11</f>
        <v>707</v>
      </c>
      <c r="F21" s="206">
        <v>0.86799999999999999</v>
      </c>
      <c r="G21" s="46"/>
      <c r="H21" s="122">
        <v>0.76388888888888884</v>
      </c>
      <c r="I21" s="122">
        <v>0.79895833333333333</v>
      </c>
      <c r="J21" s="34">
        <f t="shared" si="0"/>
        <v>3030.0000000000036</v>
      </c>
      <c r="K21" s="34">
        <f t="shared" si="1"/>
        <v>2630.0400000000031</v>
      </c>
      <c r="L21" s="212">
        <f t="array" ref="L21">K21-MIN(IF(K19:K31&gt;0,(K19:K31)))</f>
        <v>0</v>
      </c>
      <c r="M21" s="124">
        <f t="shared" si="2"/>
        <v>0</v>
      </c>
      <c r="N21" s="124">
        <f t="shared" si="3"/>
        <v>0</v>
      </c>
      <c r="O21" s="280">
        <f t="shared" si="4"/>
        <v>1</v>
      </c>
    </row>
    <row r="22" spans="1:15" ht="20" customHeight="1" x14ac:dyDescent="0.15">
      <c r="A22" s="257">
        <v>4</v>
      </c>
      <c r="B22" s="34" t="str">
        <f>Sammanställning!B12</f>
        <v>Urban Thim</v>
      </c>
      <c r="C22" s="39" t="s">
        <v>207</v>
      </c>
      <c r="D22" s="40"/>
      <c r="E22" s="129" t="str">
        <f>Sammanställning!C12</f>
        <v>707U</v>
      </c>
      <c r="F22" s="206">
        <v>0.86799999999999999</v>
      </c>
      <c r="G22" s="46"/>
      <c r="H22" s="122">
        <v>0.76388888888888884</v>
      </c>
      <c r="I22" s="122">
        <v>0.79995370370370367</v>
      </c>
      <c r="J22" s="34">
        <f t="shared" si="0"/>
        <v>3116.0000000000009</v>
      </c>
      <c r="K22" s="34">
        <f t="shared" si="1"/>
        <v>2704.6880000000006</v>
      </c>
      <c r="L22" s="212">
        <f t="array" ref="L22">K22-MIN(IF(K19:K31&gt;0,(K19:K31)))</f>
        <v>74.64799999999741</v>
      </c>
      <c r="M22" s="124">
        <f t="shared" si="2"/>
        <v>0</v>
      </c>
      <c r="N22" s="124">
        <f t="shared" si="3"/>
        <v>0</v>
      </c>
      <c r="O22" s="258">
        <f t="shared" si="4"/>
        <v>2</v>
      </c>
    </row>
    <row r="23" spans="1:15" ht="20" customHeight="1" x14ac:dyDescent="0.15">
      <c r="A23" s="257">
        <v>5</v>
      </c>
      <c r="B23" s="34" t="str">
        <f>Sammanställning!B13</f>
        <v>Lars Berglund</v>
      </c>
      <c r="C23" s="39" t="s">
        <v>163</v>
      </c>
      <c r="D23" s="127"/>
      <c r="E23" s="129" t="str">
        <f>Sammanställning!C13</f>
        <v>Maxi Magic</v>
      </c>
      <c r="F23" s="206">
        <v>0.85199999999999998</v>
      </c>
      <c r="G23" s="46"/>
      <c r="H23" s="122">
        <v>0.76388888888888884</v>
      </c>
      <c r="I23" s="122">
        <v>0.81182870370370375</v>
      </c>
      <c r="J23" s="34">
        <f t="shared" si="0"/>
        <v>4142.0000000000082</v>
      </c>
      <c r="K23" s="34">
        <f t="shared" si="1"/>
        <v>3528.9840000000067</v>
      </c>
      <c r="L23" s="212">
        <f t="array" ref="L23">K23-MIN(IF(K19:K31&gt;0,(K19:K31)))</f>
        <v>898.9440000000036</v>
      </c>
      <c r="M23" s="124">
        <f t="shared" si="2"/>
        <v>0</v>
      </c>
      <c r="N23" s="124">
        <f t="shared" si="3"/>
        <v>0</v>
      </c>
      <c r="O23" s="258">
        <f t="shared" si="4"/>
        <v>4</v>
      </c>
    </row>
    <row r="24" spans="1:15" ht="20" customHeight="1" x14ac:dyDescent="0.15">
      <c r="A24" s="257">
        <v>6</v>
      </c>
      <c r="B24" s="34" t="str">
        <f>Sammanställning!B14</f>
        <v>Ingmar Olsson</v>
      </c>
      <c r="C24" s="39"/>
      <c r="D24" s="127"/>
      <c r="E24" s="129" t="str">
        <f>Sammanställning!C14</f>
        <v>Avanti</v>
      </c>
      <c r="F24" s="206"/>
      <c r="G24" s="46"/>
      <c r="H24" s="211" t="s">
        <v>178</v>
      </c>
      <c r="I24" s="122"/>
      <c r="J24" s="34">
        <f t="shared" si="0"/>
        <v>0</v>
      </c>
      <c r="K24" s="34">
        <f t="shared" si="1"/>
        <v>0</v>
      </c>
      <c r="L24" s="212">
        <f t="array" ref="L24">K24-MIN(IF(K19:K31&gt;0,(K19:K31)))</f>
        <v>-2630.0400000000031</v>
      </c>
      <c r="M24" s="124">
        <f t="shared" si="2"/>
        <v>0</v>
      </c>
      <c r="N24" s="124">
        <f t="shared" si="3"/>
        <v>0</v>
      </c>
      <c r="O24" s="281">
        <v>6</v>
      </c>
    </row>
    <row r="25" spans="1:15" ht="20" customHeight="1" x14ac:dyDescent="0.15">
      <c r="A25" s="257">
        <v>7</v>
      </c>
      <c r="B25" s="34" t="str">
        <f>Sammanställning!B15</f>
        <v>Erik Andersson</v>
      </c>
      <c r="C25" s="128"/>
      <c r="D25" s="40"/>
      <c r="E25" s="129" t="str">
        <f>Sammanställning!C15</f>
        <v>Elan 210</v>
      </c>
      <c r="F25" s="206"/>
      <c r="G25" s="46"/>
      <c r="H25" s="211" t="s">
        <v>178</v>
      </c>
      <c r="I25" s="122"/>
      <c r="J25" s="34">
        <f t="shared" si="0"/>
        <v>0</v>
      </c>
      <c r="K25" s="34">
        <f t="shared" si="1"/>
        <v>0</v>
      </c>
      <c r="L25" s="212">
        <f t="array" ref="L25">K25-MIN(IF(K19:K31&gt;0,(K19:K31)))</f>
        <v>-2630.0400000000031</v>
      </c>
      <c r="M25" s="124">
        <f t="shared" si="2"/>
        <v>0</v>
      </c>
      <c r="N25" s="124">
        <f t="shared" si="3"/>
        <v>0</v>
      </c>
      <c r="O25" s="281">
        <v>6</v>
      </c>
    </row>
    <row r="26" spans="1:15" ht="20" customHeight="1" x14ac:dyDescent="0.15">
      <c r="A26" s="257">
        <v>8</v>
      </c>
      <c r="B26" s="34" t="str">
        <f>Sammanställning!B16</f>
        <v>Magnus Nilsson</v>
      </c>
      <c r="C26" s="39"/>
      <c r="D26" s="40"/>
      <c r="E26" s="129" t="str">
        <f>Sammanställning!C16</f>
        <v>Viggen</v>
      </c>
      <c r="F26" s="206"/>
      <c r="G26" s="46"/>
      <c r="H26" s="211" t="s">
        <v>178</v>
      </c>
      <c r="I26" s="122"/>
      <c r="J26" s="34">
        <f t="shared" si="0"/>
        <v>0</v>
      </c>
      <c r="K26" s="34">
        <f t="shared" si="1"/>
        <v>0</v>
      </c>
      <c r="L26" s="212">
        <f t="array" ref="L26">K26-MIN(IF(K19:K31&gt;0,(K19:K31)))</f>
        <v>-2630.0400000000031</v>
      </c>
      <c r="M26" s="124">
        <f t="shared" si="2"/>
        <v>0</v>
      </c>
      <c r="N26" s="124">
        <f t="shared" si="3"/>
        <v>0</v>
      </c>
      <c r="O26" s="281">
        <v>6</v>
      </c>
    </row>
    <row r="27" spans="1:15" ht="20" customHeight="1" x14ac:dyDescent="0.15">
      <c r="A27" s="257">
        <v>9</v>
      </c>
      <c r="B27" s="34">
        <f>Sammanställning!B17</f>
        <v>0</v>
      </c>
      <c r="C27" s="39"/>
      <c r="D27" s="40"/>
      <c r="E27" s="129">
        <f>Sammanställning!C17</f>
        <v>0</v>
      </c>
      <c r="F27" s="206"/>
      <c r="G27" s="46"/>
      <c r="H27" s="211"/>
      <c r="I27" s="122"/>
      <c r="J27" s="34">
        <f t="shared" si="0"/>
        <v>0</v>
      </c>
      <c r="K27" s="34">
        <f t="shared" si="1"/>
        <v>0</v>
      </c>
      <c r="L27" s="212">
        <f t="array" ref="L27">K27-MIN(IF(K19:K31&gt;0,(K19:K31)))</f>
        <v>-2630.0400000000031</v>
      </c>
      <c r="M27" s="124">
        <f t="shared" si="2"/>
        <v>0</v>
      </c>
      <c r="N27" s="124">
        <f t="shared" si="3"/>
        <v>0</v>
      </c>
      <c r="O27" s="258"/>
    </row>
    <row r="28" spans="1:15" ht="20" customHeight="1" x14ac:dyDescent="0.15">
      <c r="A28" s="257">
        <v>10</v>
      </c>
      <c r="B28" s="34">
        <f>Sammanställning!B18</f>
        <v>0</v>
      </c>
      <c r="C28" s="128"/>
      <c r="D28" s="40"/>
      <c r="E28" s="129">
        <f>Sammanställning!C18</f>
        <v>0</v>
      </c>
      <c r="F28" s="206"/>
      <c r="G28" s="46"/>
      <c r="H28" s="211"/>
      <c r="I28" s="122"/>
      <c r="J28" s="34">
        <f t="shared" si="0"/>
        <v>0</v>
      </c>
      <c r="K28" s="34">
        <f t="shared" si="1"/>
        <v>0</v>
      </c>
      <c r="L28" s="212">
        <f t="array" ref="L28">K28-MIN(IF(K19:K31&gt;0,(K19:K31)))</f>
        <v>-2630.0400000000031</v>
      </c>
      <c r="M28" s="124">
        <f t="shared" si="2"/>
        <v>0</v>
      </c>
      <c r="N28" s="124">
        <f t="shared" si="3"/>
        <v>0</v>
      </c>
      <c r="O28" s="258">
        <f t="shared" si="4"/>
        <v>-7</v>
      </c>
    </row>
    <row r="29" spans="1:15" ht="20" customHeight="1" x14ac:dyDescent="0.15">
      <c r="A29" s="257">
        <v>11</v>
      </c>
      <c r="B29" s="34">
        <f>Sammanställning!B19</f>
        <v>0</v>
      </c>
      <c r="C29" s="39"/>
      <c r="D29" s="40"/>
      <c r="E29" s="129">
        <f>Sammanställning!C19</f>
        <v>0</v>
      </c>
      <c r="F29" s="206"/>
      <c r="G29" s="46"/>
      <c r="H29" s="122"/>
      <c r="I29" s="122"/>
      <c r="J29" s="34">
        <f t="shared" si="0"/>
        <v>0</v>
      </c>
      <c r="K29" s="34">
        <f t="shared" si="1"/>
        <v>0</v>
      </c>
      <c r="L29" s="212">
        <f t="array" ref="L29">K29-MIN(IF(K19:K31&gt;0,(K19:K31)))</f>
        <v>-2630.0400000000031</v>
      </c>
      <c r="M29" s="124">
        <f t="shared" si="2"/>
        <v>0</v>
      </c>
      <c r="N29" s="124">
        <f t="shared" si="3"/>
        <v>0</v>
      </c>
      <c r="O29" s="258">
        <f t="shared" si="4"/>
        <v>-7</v>
      </c>
    </row>
    <row r="30" spans="1:15" ht="20" customHeight="1" thickBot="1" x14ac:dyDescent="0.2">
      <c r="A30" s="259">
        <v>12</v>
      </c>
      <c r="B30" s="216">
        <f>Sammanställning!B20</f>
        <v>0</v>
      </c>
      <c r="C30" s="260"/>
      <c r="D30" s="261"/>
      <c r="E30" s="262">
        <f>Sammanställning!C20</f>
        <v>0</v>
      </c>
      <c r="F30" s="277"/>
      <c r="G30" s="264"/>
      <c r="H30" s="278"/>
      <c r="I30" s="266"/>
      <c r="J30" s="216">
        <f t="shared" si="0"/>
        <v>0</v>
      </c>
      <c r="K30" s="216">
        <f t="shared" si="1"/>
        <v>0</v>
      </c>
      <c r="L30" s="213">
        <f t="array" ref="L30">K30-MIN(IF(K19:K31&gt;0,(K19:K31)))</f>
        <v>-2630.0400000000031</v>
      </c>
      <c r="M30" s="268">
        <f t="shared" si="2"/>
        <v>0</v>
      </c>
      <c r="N30" s="268">
        <f t="shared" si="3"/>
        <v>0</v>
      </c>
      <c r="O30" s="269">
        <f t="shared" si="4"/>
        <v>-7</v>
      </c>
    </row>
    <row r="31" spans="1:15" ht="20" customHeight="1" thickBot="1" x14ac:dyDescent="0.2">
      <c r="A31" s="21">
        <v>13</v>
      </c>
      <c r="B31" s="239">
        <f>Sammanställning!B21</f>
        <v>0</v>
      </c>
      <c r="C31" s="240"/>
      <c r="D31" s="240"/>
      <c r="E31" s="241">
        <f>Sammanställning!C21</f>
        <v>0</v>
      </c>
      <c r="F31" s="272"/>
      <c r="G31" s="24"/>
      <c r="H31" s="273"/>
      <c r="I31" s="243"/>
      <c r="J31" s="239">
        <f t="shared" si="0"/>
        <v>0</v>
      </c>
      <c r="K31" s="239">
        <f t="shared" si="1"/>
        <v>0</v>
      </c>
      <c r="L31" s="315">
        <f t="array" ref="L31">K31-MIN(IF(K19:K31&gt;0,(K19:K31)))</f>
        <v>-2630.0400000000031</v>
      </c>
      <c r="M31" s="245">
        <f t="shared" si="2"/>
        <v>0</v>
      </c>
      <c r="N31" s="245">
        <f t="shared" si="3"/>
        <v>0</v>
      </c>
      <c r="O31" s="246">
        <f t="shared" si="4"/>
        <v>-7</v>
      </c>
    </row>
  </sheetData>
  <sheetProtection selectLockedCells="1" selectUnlockedCells="1"/>
  <mergeCells count="8">
    <mergeCell ref="C10:D10"/>
    <mergeCell ref="C5:D5"/>
    <mergeCell ref="C6:D6"/>
    <mergeCell ref="L6:O6"/>
    <mergeCell ref="C7:D7"/>
    <mergeCell ref="L7:N7"/>
    <mergeCell ref="C8:D8"/>
    <mergeCell ref="L8:O8"/>
  </mergeCells>
  <phoneticPr fontId="12" type="noConversion"/>
  <printOptions horizontalCentered="1"/>
  <pageMargins left="0" right="0" top="0.19652777777777777" bottom="0.19652777777777777" header="0.51180555555555551" footer="0.51180555555555551"/>
  <pageSetup paperSize="9" firstPageNumber="0" orientation="landscape" horizontalDpi="300" verticalDpi="300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D6517-18D2-0E43-B730-5F13794C3011}">
  <sheetPr codeName="Blad13"/>
  <dimension ref="A1:L63"/>
  <sheetViews>
    <sheetView topLeftCell="A7" zoomScaleNormal="100" workbookViewId="0">
      <selection activeCell="C54" sqref="C54"/>
    </sheetView>
  </sheetViews>
  <sheetFormatPr baseColWidth="10" defaultColWidth="9.25" defaultRowHeight="13" x14ac:dyDescent="0.15"/>
  <cols>
    <col min="1" max="9" width="10.75" style="1" customWidth="1"/>
    <col min="10" max="16384" width="9.25" style="1"/>
  </cols>
  <sheetData>
    <row r="1" spans="1:11" ht="18" customHeight="1" x14ac:dyDescent="0.15"/>
    <row r="2" spans="1:11" ht="25" customHeight="1" x14ac:dyDescent="0.25">
      <c r="A2" s="3"/>
      <c r="D2" s="4" t="s">
        <v>132</v>
      </c>
      <c r="E2" s="5"/>
    </row>
    <row r="3" spans="1:11" ht="20" customHeight="1" x14ac:dyDescent="0.2">
      <c r="D3" s="6" t="s">
        <v>84</v>
      </c>
      <c r="E3" s="5"/>
    </row>
    <row r="4" spans="1:11" ht="18" x14ac:dyDescent="0.2">
      <c r="A4" s="3"/>
    </row>
    <row r="5" spans="1:11" ht="15" customHeight="1" x14ac:dyDescent="0.15">
      <c r="A5" s="137" t="s">
        <v>34</v>
      </c>
      <c r="B5" s="66" t="s">
        <v>85</v>
      </c>
      <c r="C5" s="65"/>
      <c r="D5" s="63"/>
      <c r="E5" s="84" t="s">
        <v>36</v>
      </c>
    </row>
    <row r="6" spans="1:11" ht="15" customHeight="1" x14ac:dyDescent="0.15">
      <c r="A6" s="138" t="s">
        <v>86</v>
      </c>
      <c r="B6" s="90"/>
      <c r="C6" s="91"/>
      <c r="D6" s="81"/>
      <c r="E6" s="92"/>
    </row>
    <row r="7" spans="1:11" ht="15" customHeight="1" x14ac:dyDescent="0.15">
      <c r="A7" s="138" t="s">
        <v>87</v>
      </c>
      <c r="B7" s="90"/>
      <c r="C7" s="91"/>
      <c r="D7" s="81"/>
      <c r="E7" s="92"/>
    </row>
    <row r="8" spans="1:11" ht="15" customHeight="1" x14ac:dyDescent="0.15">
      <c r="A8" s="97"/>
      <c r="B8" s="90" t="s">
        <v>44</v>
      </c>
      <c r="C8" s="91"/>
      <c r="D8" s="81"/>
      <c r="E8" s="92" t="s">
        <v>45</v>
      </c>
    </row>
    <row r="9" spans="1:11" ht="15" customHeight="1" x14ac:dyDescent="0.15">
      <c r="A9" s="97"/>
      <c r="B9" s="90" t="s">
        <v>50</v>
      </c>
      <c r="C9" s="91"/>
      <c r="D9" s="81"/>
      <c r="E9" s="103" t="s">
        <v>51</v>
      </c>
    </row>
    <row r="10" spans="1:11" ht="15" customHeight="1" x14ac:dyDescent="0.15">
      <c r="A10" s="97"/>
      <c r="B10" s="101" t="s">
        <v>53</v>
      </c>
      <c r="C10" s="91"/>
      <c r="D10" s="81"/>
      <c r="E10" s="103" t="s">
        <v>54</v>
      </c>
    </row>
    <row r="11" spans="1:11" ht="15" customHeight="1" x14ac:dyDescent="0.15">
      <c r="A11" s="104"/>
      <c r="B11" s="112" t="s">
        <v>133</v>
      </c>
      <c r="C11" s="113"/>
      <c r="D11" s="88"/>
      <c r="E11" s="114" t="s">
        <v>134</v>
      </c>
    </row>
    <row r="12" spans="1:11" ht="12.75" customHeight="1" x14ac:dyDescent="0.15">
      <c r="A12" s="58"/>
      <c r="D12" s="139"/>
    </row>
    <row r="13" spans="1:11" ht="15" customHeight="1" x14ac:dyDescent="0.15">
      <c r="A13" s="336" t="s">
        <v>88</v>
      </c>
      <c r="B13" s="336"/>
      <c r="C13" s="337" t="s">
        <v>89</v>
      </c>
      <c r="D13" s="337"/>
      <c r="E13" s="65"/>
      <c r="F13" s="65"/>
      <c r="G13" s="140" t="s">
        <v>90</v>
      </c>
      <c r="H13" s="140"/>
      <c r="I13" s="141"/>
    </row>
    <row r="14" spans="1:11" ht="15" customHeight="1" x14ac:dyDescent="0.15">
      <c r="A14" s="142" t="s">
        <v>91</v>
      </c>
      <c r="B14" s="143" t="s">
        <v>92</v>
      </c>
      <c r="C14" s="144"/>
      <c r="D14" s="143"/>
      <c r="E14" s="145" t="s">
        <v>93</v>
      </c>
      <c r="F14" s="145" t="s">
        <v>94</v>
      </c>
      <c r="G14" s="145" t="s">
        <v>95</v>
      </c>
      <c r="H14" s="145" t="s">
        <v>96</v>
      </c>
      <c r="I14" s="146" t="s">
        <v>97</v>
      </c>
    </row>
    <row r="15" spans="1:11" ht="15" customHeight="1" x14ac:dyDescent="0.15">
      <c r="A15" s="147"/>
      <c r="B15" s="16"/>
      <c r="C15" s="148" t="s">
        <v>98</v>
      </c>
      <c r="D15" s="149" t="s">
        <v>31</v>
      </c>
      <c r="E15" s="5" t="s">
        <v>49</v>
      </c>
      <c r="F15" s="5" t="s">
        <v>49</v>
      </c>
      <c r="G15" s="5" t="s">
        <v>49</v>
      </c>
      <c r="H15" s="5" t="s">
        <v>49</v>
      </c>
      <c r="I15" s="150" t="s">
        <v>49</v>
      </c>
    </row>
    <row r="16" spans="1:11" ht="15" customHeight="1" x14ac:dyDescent="0.15">
      <c r="A16" s="151" t="s">
        <v>36</v>
      </c>
      <c r="B16" s="9"/>
      <c r="C16" s="152"/>
      <c r="D16" s="153"/>
      <c r="E16" s="154">
        <f t="shared" ref="E16:E52" si="0">$D16/1*60</f>
        <v>0</v>
      </c>
      <c r="F16" s="154">
        <f t="shared" ref="F16:F52" si="1">$D16/2*60</f>
        <v>0</v>
      </c>
      <c r="G16" s="154">
        <f t="shared" ref="G16:G52" si="2">$D16/3*60</f>
        <v>0</v>
      </c>
      <c r="H16" s="154">
        <f t="shared" ref="H16:H52" si="3">$D16/4*60</f>
        <v>0</v>
      </c>
      <c r="I16" s="155">
        <f t="shared" ref="I16:I52" si="4">$D16/5*60</f>
        <v>0</v>
      </c>
      <c r="K16" s="156"/>
    </row>
    <row r="17" spans="1:12" ht="15" customHeight="1" x14ac:dyDescent="0.15">
      <c r="A17" s="157"/>
      <c r="B17" s="16"/>
      <c r="C17" s="158"/>
      <c r="D17" s="159"/>
      <c r="E17" s="7">
        <f t="shared" si="0"/>
        <v>0</v>
      </c>
      <c r="F17" s="7">
        <f t="shared" si="1"/>
        <v>0</v>
      </c>
      <c r="G17" s="7">
        <f t="shared" si="2"/>
        <v>0</v>
      </c>
      <c r="H17" s="7">
        <f t="shared" si="3"/>
        <v>0</v>
      </c>
      <c r="I17" s="160">
        <f t="shared" si="4"/>
        <v>0</v>
      </c>
    </row>
    <row r="18" spans="1:12" ht="15" customHeight="1" x14ac:dyDescent="0.15">
      <c r="A18" s="157"/>
      <c r="B18" s="16" t="s">
        <v>45</v>
      </c>
      <c r="C18" s="158">
        <v>740</v>
      </c>
      <c r="D18" s="159">
        <f>C18/1852</f>
        <v>0.39956803455723544</v>
      </c>
      <c r="E18" s="7">
        <f t="shared" si="0"/>
        <v>23.974082073434126</v>
      </c>
      <c r="F18" s="7">
        <f t="shared" si="1"/>
        <v>11.987041036717063</v>
      </c>
      <c r="G18" s="7">
        <f t="shared" si="2"/>
        <v>7.9913606911447097</v>
      </c>
      <c r="H18" s="7">
        <f t="shared" si="3"/>
        <v>5.9935205183585314</v>
      </c>
      <c r="I18" s="160">
        <f t="shared" si="4"/>
        <v>4.7948164146868253</v>
      </c>
      <c r="K18"/>
    </row>
    <row r="19" spans="1:12" ht="15" customHeight="1" x14ac:dyDescent="0.15">
      <c r="A19" s="157"/>
      <c r="B19" s="16" t="s">
        <v>51</v>
      </c>
      <c r="C19" s="158">
        <v>520</v>
      </c>
      <c r="D19" s="159">
        <f>C19/1852</f>
        <v>0.28077753779697623</v>
      </c>
      <c r="E19" s="7">
        <f t="shared" si="0"/>
        <v>16.846652267818573</v>
      </c>
      <c r="F19" s="7">
        <f t="shared" si="1"/>
        <v>8.4233261339092866</v>
      </c>
      <c r="G19" s="7">
        <f t="shared" si="2"/>
        <v>5.615550755939525</v>
      </c>
      <c r="H19" s="7">
        <f t="shared" si="3"/>
        <v>4.2116630669546433</v>
      </c>
      <c r="I19" s="160">
        <f t="shared" si="4"/>
        <v>3.3693304535637147</v>
      </c>
      <c r="K19"/>
      <c r="L19" s="159"/>
    </row>
    <row r="20" spans="1:12" ht="15" customHeight="1" x14ac:dyDescent="0.15">
      <c r="A20" s="157"/>
      <c r="B20" s="16" t="s">
        <v>54</v>
      </c>
      <c r="C20" s="158">
        <v>880</v>
      </c>
      <c r="D20" s="159">
        <f>C20/1852</f>
        <v>0.47516198704103674</v>
      </c>
      <c r="E20" s="7">
        <f t="shared" si="0"/>
        <v>28.509719222462206</v>
      </c>
      <c r="F20" s="7">
        <f t="shared" si="1"/>
        <v>14.254859611231103</v>
      </c>
      <c r="G20" s="7">
        <f t="shared" si="2"/>
        <v>9.5032397408207352</v>
      </c>
      <c r="H20" s="7">
        <f t="shared" si="3"/>
        <v>7.1274298056155514</v>
      </c>
      <c r="I20" s="160">
        <f t="shared" si="4"/>
        <v>5.7019438444924404</v>
      </c>
      <c r="K20"/>
    </row>
    <row r="21" spans="1:12" ht="15" customHeight="1" x14ac:dyDescent="0.15">
      <c r="A21" s="157"/>
      <c r="B21" s="16"/>
      <c r="C21" s="158"/>
      <c r="D21" s="159"/>
      <c r="E21" s="7"/>
      <c r="F21" s="7"/>
      <c r="G21" s="7"/>
      <c r="H21" s="7"/>
      <c r="I21" s="160"/>
      <c r="K21"/>
    </row>
    <row r="22" spans="1:12" ht="15" customHeight="1" x14ac:dyDescent="0.15">
      <c r="A22" s="142"/>
      <c r="B22" s="143"/>
      <c r="C22" s="161"/>
      <c r="D22" s="162"/>
      <c r="E22" s="163">
        <f t="shared" si="0"/>
        <v>0</v>
      </c>
      <c r="F22" s="163">
        <f t="shared" si="1"/>
        <v>0</v>
      </c>
      <c r="G22" s="163">
        <f t="shared" si="2"/>
        <v>0</v>
      </c>
      <c r="H22" s="163">
        <f t="shared" si="3"/>
        <v>0</v>
      </c>
      <c r="I22" s="164">
        <f t="shared" si="4"/>
        <v>0</v>
      </c>
      <c r="K22"/>
    </row>
    <row r="23" spans="1:12" ht="15" customHeight="1" x14ac:dyDescent="0.15">
      <c r="A23" s="157"/>
      <c r="B23" s="16"/>
      <c r="C23" s="158"/>
      <c r="D23" s="159"/>
      <c r="E23" s="7">
        <f t="shared" si="0"/>
        <v>0</v>
      </c>
      <c r="F23" s="7">
        <f t="shared" si="1"/>
        <v>0</v>
      </c>
      <c r="G23" s="7">
        <f t="shared" si="2"/>
        <v>0</v>
      </c>
      <c r="H23" s="7">
        <f t="shared" si="3"/>
        <v>0</v>
      </c>
      <c r="I23" s="160">
        <f t="shared" si="4"/>
        <v>0</v>
      </c>
    </row>
    <row r="24" spans="1:12" ht="15" customHeight="1" x14ac:dyDescent="0.15">
      <c r="A24" s="157"/>
      <c r="B24" s="16"/>
      <c r="C24" s="158"/>
      <c r="D24" s="159"/>
      <c r="E24" s="7">
        <f t="shared" si="0"/>
        <v>0</v>
      </c>
      <c r="F24" s="7">
        <f t="shared" si="1"/>
        <v>0</v>
      </c>
      <c r="G24" s="7">
        <f t="shared" si="2"/>
        <v>0</v>
      </c>
      <c r="H24" s="7">
        <f t="shared" si="3"/>
        <v>0</v>
      </c>
      <c r="I24" s="160">
        <f t="shared" si="4"/>
        <v>0</v>
      </c>
    </row>
    <row r="25" spans="1:12" ht="15" customHeight="1" x14ac:dyDescent="0.15">
      <c r="A25" s="157"/>
      <c r="B25" s="16"/>
      <c r="C25" s="158"/>
      <c r="D25" s="159"/>
      <c r="E25" s="7">
        <f t="shared" si="0"/>
        <v>0</v>
      </c>
      <c r="F25" s="7">
        <f t="shared" si="1"/>
        <v>0</v>
      </c>
      <c r="G25" s="7">
        <f t="shared" si="2"/>
        <v>0</v>
      </c>
      <c r="H25" s="7">
        <f t="shared" si="3"/>
        <v>0</v>
      </c>
      <c r="I25" s="160">
        <f t="shared" si="4"/>
        <v>0</v>
      </c>
    </row>
    <row r="26" spans="1:12" ht="15" customHeight="1" x14ac:dyDescent="0.15">
      <c r="A26" s="165"/>
      <c r="B26" s="166"/>
      <c r="C26" s="167"/>
      <c r="D26" s="168"/>
      <c r="E26" s="169">
        <f t="shared" si="0"/>
        <v>0</v>
      </c>
      <c r="F26" s="169">
        <f t="shared" si="1"/>
        <v>0</v>
      </c>
      <c r="G26" s="169">
        <f t="shared" si="2"/>
        <v>0</v>
      </c>
      <c r="H26" s="169">
        <f t="shared" si="3"/>
        <v>0</v>
      </c>
      <c r="I26" s="170">
        <f t="shared" si="4"/>
        <v>0</v>
      </c>
    </row>
    <row r="27" spans="1:12" ht="15" customHeight="1" x14ac:dyDescent="0.15">
      <c r="A27" s="157"/>
      <c r="B27" s="16"/>
      <c r="C27" s="158"/>
      <c r="D27" s="159"/>
      <c r="E27" s="7">
        <f t="shared" si="0"/>
        <v>0</v>
      </c>
      <c r="F27" s="7">
        <f t="shared" si="1"/>
        <v>0</v>
      </c>
      <c r="G27" s="7">
        <f t="shared" si="2"/>
        <v>0</v>
      </c>
      <c r="H27" s="7">
        <f t="shared" si="3"/>
        <v>0</v>
      </c>
      <c r="I27" s="160">
        <f t="shared" si="4"/>
        <v>0</v>
      </c>
      <c r="J27"/>
      <c r="K27"/>
    </row>
    <row r="28" spans="1:12" ht="15" customHeight="1" x14ac:dyDescent="0.15">
      <c r="A28" s="97"/>
      <c r="B28" s="16"/>
      <c r="C28" s="158"/>
      <c r="D28" s="159"/>
      <c r="E28" s="7">
        <f t="shared" si="0"/>
        <v>0</v>
      </c>
      <c r="F28" s="7">
        <f t="shared" si="1"/>
        <v>0</v>
      </c>
      <c r="G28" s="7">
        <f t="shared" si="2"/>
        <v>0</v>
      </c>
      <c r="H28" s="7">
        <f t="shared" si="3"/>
        <v>0</v>
      </c>
      <c r="I28" s="160">
        <f t="shared" si="4"/>
        <v>0</v>
      </c>
      <c r="J28"/>
      <c r="K28"/>
    </row>
    <row r="29" spans="1:12" ht="15" customHeight="1" x14ac:dyDescent="0.15">
      <c r="A29" s="97"/>
      <c r="B29" s="16"/>
      <c r="C29" s="158"/>
      <c r="D29" s="159"/>
      <c r="E29" s="7">
        <f t="shared" si="0"/>
        <v>0</v>
      </c>
      <c r="F29" s="7">
        <f t="shared" si="1"/>
        <v>0</v>
      </c>
      <c r="G29" s="7">
        <f t="shared" si="2"/>
        <v>0</v>
      </c>
      <c r="H29" s="7">
        <f t="shared" si="3"/>
        <v>0</v>
      </c>
      <c r="I29" s="160">
        <f t="shared" si="4"/>
        <v>0</v>
      </c>
      <c r="J29"/>
      <c r="K29"/>
    </row>
    <row r="30" spans="1:12" ht="15" customHeight="1" x14ac:dyDescent="0.15">
      <c r="A30" s="157"/>
      <c r="B30" s="16"/>
      <c r="C30" s="158"/>
      <c r="D30" s="159"/>
      <c r="E30" s="7">
        <f t="shared" si="0"/>
        <v>0</v>
      </c>
      <c r="F30" s="7">
        <f t="shared" si="1"/>
        <v>0</v>
      </c>
      <c r="G30" s="7">
        <f t="shared" si="2"/>
        <v>0</v>
      </c>
      <c r="H30" s="7">
        <f t="shared" si="3"/>
        <v>0</v>
      </c>
      <c r="I30" s="160">
        <f t="shared" si="4"/>
        <v>0</v>
      </c>
      <c r="J30"/>
      <c r="K30"/>
    </row>
    <row r="31" spans="1:12" ht="15" customHeight="1" x14ac:dyDescent="0.15">
      <c r="A31" s="165"/>
      <c r="B31" s="166"/>
      <c r="C31" s="167"/>
      <c r="D31" s="168"/>
      <c r="E31" s="169">
        <f t="shared" si="0"/>
        <v>0</v>
      </c>
      <c r="F31" s="169">
        <f t="shared" si="1"/>
        <v>0</v>
      </c>
      <c r="G31" s="169">
        <f t="shared" si="2"/>
        <v>0</v>
      </c>
      <c r="H31" s="169">
        <f t="shared" si="3"/>
        <v>0</v>
      </c>
      <c r="I31" s="170">
        <f t="shared" si="4"/>
        <v>0</v>
      </c>
      <c r="J31"/>
      <c r="K31"/>
    </row>
    <row r="32" spans="1:12" ht="15" customHeight="1" x14ac:dyDescent="0.15">
      <c r="A32" s="157" t="s">
        <v>45</v>
      </c>
      <c r="B32" s="16" t="s">
        <v>36</v>
      </c>
      <c r="C32" s="158">
        <f>C18</f>
        <v>740</v>
      </c>
      <c r="D32" s="159">
        <f>C32/1852</f>
        <v>0.39956803455723544</v>
      </c>
      <c r="E32" s="7">
        <f t="shared" si="0"/>
        <v>23.974082073434126</v>
      </c>
      <c r="F32" s="7">
        <f t="shared" si="1"/>
        <v>11.987041036717063</v>
      </c>
      <c r="G32" s="7">
        <f t="shared" si="2"/>
        <v>7.9913606911447097</v>
      </c>
      <c r="H32" s="7">
        <f t="shared" si="3"/>
        <v>5.9935205183585314</v>
      </c>
      <c r="I32" s="160">
        <f t="shared" si="4"/>
        <v>4.7948164146868253</v>
      </c>
      <c r="J32"/>
      <c r="K32"/>
    </row>
    <row r="33" spans="1:11" ht="15" customHeight="1" x14ac:dyDescent="0.15">
      <c r="A33" s="97"/>
      <c r="B33" s="16"/>
      <c r="C33" s="158"/>
      <c r="D33" s="159"/>
      <c r="E33" s="7">
        <f t="shared" si="0"/>
        <v>0</v>
      </c>
      <c r="F33" s="7">
        <f t="shared" si="1"/>
        <v>0</v>
      </c>
      <c r="G33" s="7">
        <f t="shared" si="2"/>
        <v>0</v>
      </c>
      <c r="H33" s="7">
        <f t="shared" si="3"/>
        <v>0</v>
      </c>
      <c r="I33" s="160">
        <f t="shared" si="4"/>
        <v>0</v>
      </c>
      <c r="J33"/>
      <c r="K33"/>
    </row>
    <row r="34" spans="1:11" ht="15" customHeight="1" x14ac:dyDescent="0.15">
      <c r="A34" s="97"/>
      <c r="B34" s="16"/>
      <c r="C34" s="158"/>
      <c r="D34" s="159"/>
      <c r="E34" s="7">
        <f t="shared" si="0"/>
        <v>0</v>
      </c>
      <c r="F34" s="7">
        <f t="shared" si="1"/>
        <v>0</v>
      </c>
      <c r="G34" s="7">
        <f t="shared" si="2"/>
        <v>0</v>
      </c>
      <c r="H34" s="7">
        <f t="shared" si="3"/>
        <v>0</v>
      </c>
      <c r="I34" s="160">
        <f t="shared" si="4"/>
        <v>0</v>
      </c>
      <c r="J34"/>
      <c r="K34"/>
    </row>
    <row r="35" spans="1:11" ht="15" customHeight="1" x14ac:dyDescent="0.15">
      <c r="A35" s="97"/>
      <c r="B35" s="16" t="s">
        <v>51</v>
      </c>
      <c r="C35" s="158">
        <v>1050</v>
      </c>
      <c r="D35" s="159">
        <f>C35/1852</f>
        <v>0.56695464362850967</v>
      </c>
      <c r="E35" s="7">
        <f t="shared" si="0"/>
        <v>34.017278617710581</v>
      </c>
      <c r="F35" s="7">
        <f t="shared" si="1"/>
        <v>17.00863930885529</v>
      </c>
      <c r="G35" s="7">
        <f t="shared" si="2"/>
        <v>11.339092872570193</v>
      </c>
      <c r="H35" s="7">
        <f t="shared" si="3"/>
        <v>8.5043196544276451</v>
      </c>
      <c r="I35" s="160">
        <f t="shared" si="4"/>
        <v>6.8034557235421156</v>
      </c>
      <c r="J35"/>
      <c r="K35"/>
    </row>
    <row r="36" spans="1:11" ht="15" customHeight="1" x14ac:dyDescent="0.15">
      <c r="A36" s="145"/>
      <c r="B36" s="227" t="s">
        <v>54</v>
      </c>
      <c r="C36" s="7">
        <v>870</v>
      </c>
      <c r="D36" s="228">
        <f>C36/1852</f>
        <v>0.46976241900647947</v>
      </c>
      <c r="E36" s="7">
        <f t="shared" si="0"/>
        <v>28.185745140388768</v>
      </c>
      <c r="F36" s="7">
        <f t="shared" si="1"/>
        <v>14.092872570194384</v>
      </c>
      <c r="G36" s="7">
        <f t="shared" si="2"/>
        <v>9.3952483801295905</v>
      </c>
      <c r="H36" s="7">
        <f t="shared" si="3"/>
        <v>7.046436285097192</v>
      </c>
      <c r="I36" s="229">
        <f t="shared" si="4"/>
        <v>5.6371490280777534</v>
      </c>
      <c r="J36"/>
      <c r="K36"/>
    </row>
    <row r="37" spans="1:11" s="226" customFormat="1" ht="15" customHeight="1" x14ac:dyDescent="0.15">
      <c r="A37" s="220"/>
      <c r="B37" s="221" t="s">
        <v>134</v>
      </c>
      <c r="C37" s="222">
        <v>1033</v>
      </c>
      <c r="D37" s="223">
        <v>0.56000000000000005</v>
      </c>
      <c r="E37" s="222">
        <f t="shared" si="0"/>
        <v>33.6</v>
      </c>
      <c r="F37" s="224">
        <f t="shared" si="1"/>
        <v>16.8</v>
      </c>
      <c r="G37" s="224">
        <f t="shared" si="2"/>
        <v>11.200000000000001</v>
      </c>
      <c r="H37" s="224">
        <f t="shared" si="3"/>
        <v>8.4</v>
      </c>
      <c r="I37" s="238">
        <f t="shared" si="4"/>
        <v>6.7200000000000006</v>
      </c>
      <c r="J37" s="225"/>
      <c r="K37" s="225"/>
    </row>
    <row r="38" spans="1:11" ht="15" customHeight="1" x14ac:dyDescent="0.15">
      <c r="A38" s="157" t="s">
        <v>51</v>
      </c>
      <c r="B38" s="16" t="s">
        <v>36</v>
      </c>
      <c r="C38" s="158">
        <f>C19</f>
        <v>520</v>
      </c>
      <c r="D38" s="159">
        <f>C38/1852</f>
        <v>0.28077753779697623</v>
      </c>
      <c r="E38" s="7">
        <f t="shared" si="0"/>
        <v>16.846652267818573</v>
      </c>
      <c r="F38" s="7">
        <f t="shared" si="1"/>
        <v>8.4233261339092866</v>
      </c>
      <c r="G38" s="7">
        <f t="shared" si="2"/>
        <v>5.615550755939525</v>
      </c>
      <c r="H38" s="7">
        <f t="shared" si="3"/>
        <v>4.2116630669546433</v>
      </c>
      <c r="I38" s="160">
        <f t="shared" si="4"/>
        <v>3.3693304535637147</v>
      </c>
      <c r="J38"/>
      <c r="K38"/>
    </row>
    <row r="39" spans="1:11" ht="15" customHeight="1" x14ac:dyDescent="0.15">
      <c r="A39" s="97"/>
      <c r="B39" s="16"/>
      <c r="C39" s="158"/>
      <c r="D39" s="159"/>
      <c r="E39" s="7">
        <f t="shared" si="0"/>
        <v>0</v>
      </c>
      <c r="F39" s="7">
        <f t="shared" si="1"/>
        <v>0</v>
      </c>
      <c r="G39" s="7">
        <f t="shared" si="2"/>
        <v>0</v>
      </c>
      <c r="H39" s="7">
        <f t="shared" si="3"/>
        <v>0</v>
      </c>
      <c r="I39" s="160">
        <f t="shared" si="4"/>
        <v>0</v>
      </c>
      <c r="J39"/>
      <c r="K39"/>
    </row>
    <row r="40" spans="1:11" ht="15" customHeight="1" x14ac:dyDescent="0.15">
      <c r="A40" s="97"/>
      <c r="B40" s="16"/>
      <c r="C40" s="158"/>
      <c r="D40" s="159"/>
      <c r="E40" s="7">
        <f t="shared" si="0"/>
        <v>0</v>
      </c>
      <c r="F40" s="7">
        <f t="shared" si="1"/>
        <v>0</v>
      </c>
      <c r="G40" s="7">
        <f t="shared" si="2"/>
        <v>0</v>
      </c>
      <c r="H40" s="7">
        <f t="shared" si="3"/>
        <v>0</v>
      </c>
      <c r="I40" s="160">
        <f t="shared" si="4"/>
        <v>0</v>
      </c>
      <c r="J40"/>
      <c r="K40"/>
    </row>
    <row r="41" spans="1:11" ht="15" customHeight="1" x14ac:dyDescent="0.15">
      <c r="A41" s="97"/>
      <c r="B41" s="16" t="s">
        <v>45</v>
      </c>
      <c r="C41" s="158">
        <f>C35</f>
        <v>1050</v>
      </c>
      <c r="D41" s="159">
        <f>C41/1852</f>
        <v>0.56695464362850967</v>
      </c>
      <c r="E41" s="7">
        <f t="shared" si="0"/>
        <v>34.017278617710581</v>
      </c>
      <c r="F41" s="7">
        <f t="shared" si="1"/>
        <v>17.00863930885529</v>
      </c>
      <c r="G41" s="7">
        <f t="shared" si="2"/>
        <v>11.339092872570193</v>
      </c>
      <c r="H41" s="7">
        <f t="shared" si="3"/>
        <v>8.5043196544276451</v>
      </c>
      <c r="I41" s="160">
        <f t="shared" si="4"/>
        <v>6.8034557235421156</v>
      </c>
      <c r="J41"/>
      <c r="K41"/>
    </row>
    <row r="42" spans="1:11" ht="15" customHeight="1" x14ac:dyDescent="0.15">
      <c r="B42" s="227" t="s">
        <v>54</v>
      </c>
      <c r="C42" s="7">
        <v>650</v>
      </c>
      <c r="D42" s="228">
        <f>C42/1852</f>
        <v>0.35097192224622031</v>
      </c>
      <c r="E42" s="7">
        <f t="shared" si="0"/>
        <v>21.058315334773219</v>
      </c>
      <c r="F42" s="7">
        <f t="shared" si="1"/>
        <v>10.52915766738661</v>
      </c>
      <c r="G42" s="7">
        <f t="shared" si="2"/>
        <v>7.0194384449244058</v>
      </c>
      <c r="H42" s="7">
        <f t="shared" si="3"/>
        <v>5.2645788336933048</v>
      </c>
      <c r="I42" s="229">
        <f t="shared" si="4"/>
        <v>4.2116630669546433</v>
      </c>
      <c r="J42"/>
      <c r="K42"/>
    </row>
    <row r="43" spans="1:11" s="226" customFormat="1" ht="15" customHeight="1" x14ac:dyDescent="0.15">
      <c r="A43" s="230"/>
      <c r="B43" s="221" t="s">
        <v>134</v>
      </c>
      <c r="C43" s="222">
        <v>1917</v>
      </c>
      <c r="D43" s="223">
        <v>1.04</v>
      </c>
      <c r="E43" s="224">
        <f t="shared" si="0"/>
        <v>62.400000000000006</v>
      </c>
      <c r="F43" s="224">
        <f t="shared" si="1"/>
        <v>31.200000000000003</v>
      </c>
      <c r="G43" s="224">
        <f t="shared" si="2"/>
        <v>20.8</v>
      </c>
      <c r="H43" s="224">
        <f t="shared" si="3"/>
        <v>15.600000000000001</v>
      </c>
      <c r="I43" s="238">
        <f t="shared" si="4"/>
        <v>12.48</v>
      </c>
      <c r="J43" s="225"/>
      <c r="K43" s="225"/>
    </row>
    <row r="44" spans="1:11" ht="15" customHeight="1" x14ac:dyDescent="0.15">
      <c r="A44" s="157" t="s">
        <v>54</v>
      </c>
      <c r="B44" s="16" t="s">
        <v>36</v>
      </c>
      <c r="C44" s="158">
        <f>C20</f>
        <v>880</v>
      </c>
      <c r="D44" s="159">
        <f>C44/1852</f>
        <v>0.47516198704103674</v>
      </c>
      <c r="E44" s="7">
        <f t="shared" si="0"/>
        <v>28.509719222462206</v>
      </c>
      <c r="F44" s="7">
        <f t="shared" si="1"/>
        <v>14.254859611231103</v>
      </c>
      <c r="G44" s="7">
        <f t="shared" si="2"/>
        <v>9.5032397408207352</v>
      </c>
      <c r="H44" s="7">
        <f t="shared" si="3"/>
        <v>7.1274298056155514</v>
      </c>
      <c r="I44" s="160">
        <f t="shared" si="4"/>
        <v>5.7019438444924404</v>
      </c>
      <c r="J44"/>
      <c r="K44"/>
    </row>
    <row r="45" spans="1:11" ht="15" customHeight="1" x14ac:dyDescent="0.15">
      <c r="A45" s="97"/>
      <c r="B45" s="16"/>
      <c r="C45" s="158"/>
      <c r="D45" s="159"/>
      <c r="E45" s="7">
        <f t="shared" si="0"/>
        <v>0</v>
      </c>
      <c r="F45" s="7">
        <f t="shared" si="1"/>
        <v>0</v>
      </c>
      <c r="G45" s="7">
        <f t="shared" si="2"/>
        <v>0</v>
      </c>
      <c r="H45" s="7">
        <f t="shared" si="3"/>
        <v>0</v>
      </c>
      <c r="I45" s="160">
        <f t="shared" si="4"/>
        <v>0</v>
      </c>
      <c r="J45"/>
      <c r="K45"/>
    </row>
    <row r="46" spans="1:11" ht="15" customHeight="1" x14ac:dyDescent="0.15">
      <c r="A46" s="97"/>
      <c r="B46" s="16"/>
      <c r="C46" s="158"/>
      <c r="D46" s="159"/>
      <c r="E46" s="7">
        <f t="shared" si="0"/>
        <v>0</v>
      </c>
      <c r="F46" s="7">
        <f t="shared" si="1"/>
        <v>0</v>
      </c>
      <c r="G46" s="7">
        <f t="shared" si="2"/>
        <v>0</v>
      </c>
      <c r="H46" s="7">
        <f t="shared" si="3"/>
        <v>0</v>
      </c>
      <c r="I46" s="160">
        <f t="shared" si="4"/>
        <v>0</v>
      </c>
      <c r="J46"/>
      <c r="K46"/>
    </row>
    <row r="47" spans="1:11" ht="15" customHeight="1" x14ac:dyDescent="0.15">
      <c r="A47" s="97"/>
      <c r="B47" s="16" t="s">
        <v>45</v>
      </c>
      <c r="C47" s="158">
        <f>C36</f>
        <v>870</v>
      </c>
      <c r="D47" s="159">
        <f>C47/1852</f>
        <v>0.46976241900647947</v>
      </c>
      <c r="E47" s="7">
        <f t="shared" si="0"/>
        <v>28.185745140388768</v>
      </c>
      <c r="F47" s="7">
        <f t="shared" si="1"/>
        <v>14.092872570194384</v>
      </c>
      <c r="G47" s="7">
        <f t="shared" si="2"/>
        <v>9.3952483801295905</v>
      </c>
      <c r="H47" s="7">
        <f t="shared" si="3"/>
        <v>7.046436285097192</v>
      </c>
      <c r="I47" s="160">
        <f t="shared" si="4"/>
        <v>5.6371490280777534</v>
      </c>
      <c r="J47"/>
      <c r="K47"/>
    </row>
    <row r="48" spans="1:11" ht="15" customHeight="1" x14ac:dyDescent="0.15">
      <c r="B48" s="227" t="s">
        <v>51</v>
      </c>
      <c r="C48" s="7">
        <f>C42</f>
        <v>650</v>
      </c>
      <c r="D48" s="228">
        <f>C48/1852</f>
        <v>0.35097192224622031</v>
      </c>
      <c r="E48" s="7">
        <f t="shared" si="0"/>
        <v>21.058315334773219</v>
      </c>
      <c r="F48" s="7">
        <f t="shared" si="1"/>
        <v>10.52915766738661</v>
      </c>
      <c r="G48" s="7">
        <f t="shared" si="2"/>
        <v>7.0194384449244058</v>
      </c>
      <c r="H48" s="7">
        <f t="shared" si="3"/>
        <v>5.2645788336933048</v>
      </c>
      <c r="I48" s="229">
        <f t="shared" si="4"/>
        <v>4.2116630669546433</v>
      </c>
      <c r="J48"/>
      <c r="K48"/>
    </row>
    <row r="49" spans="1:11" s="226" customFormat="1" ht="15" customHeight="1" x14ac:dyDescent="0.15">
      <c r="B49" s="236" t="s">
        <v>134</v>
      </c>
      <c r="C49" s="224">
        <v>1889</v>
      </c>
      <c r="D49" s="237">
        <v>1.02</v>
      </c>
      <c r="E49" s="224">
        <f t="shared" si="0"/>
        <v>61.2</v>
      </c>
      <c r="F49" s="224">
        <f t="shared" si="1"/>
        <v>30.6</v>
      </c>
      <c r="G49" s="224">
        <f t="shared" si="2"/>
        <v>20.400000000000002</v>
      </c>
      <c r="H49" s="224">
        <f t="shared" si="3"/>
        <v>15.3</v>
      </c>
      <c r="I49" s="238">
        <f t="shared" si="4"/>
        <v>12.24</v>
      </c>
      <c r="J49" s="225"/>
      <c r="K49" s="225"/>
    </row>
    <row r="50" spans="1:11" ht="15" customHeight="1" x14ac:dyDescent="0.15">
      <c r="A50" s="145" t="s">
        <v>134</v>
      </c>
      <c r="B50" s="145" t="s">
        <v>45</v>
      </c>
      <c r="C50" s="7">
        <v>1033</v>
      </c>
      <c r="D50" s="156">
        <v>0.56000000000000005</v>
      </c>
      <c r="E50" s="7">
        <f t="shared" si="0"/>
        <v>33.6</v>
      </c>
      <c r="F50" s="7">
        <f t="shared" si="1"/>
        <v>16.8</v>
      </c>
      <c r="G50" s="7">
        <f t="shared" si="2"/>
        <v>11.200000000000001</v>
      </c>
      <c r="H50" s="7">
        <f t="shared" si="3"/>
        <v>8.4</v>
      </c>
      <c r="I50" s="229">
        <f t="shared" si="4"/>
        <v>6.7200000000000006</v>
      </c>
      <c r="J50"/>
      <c r="K50"/>
    </row>
    <row r="51" spans="1:11" x14ac:dyDescent="0.15">
      <c r="B51" s="145" t="s">
        <v>51</v>
      </c>
      <c r="C51" s="1">
        <v>1917</v>
      </c>
      <c r="D51" s="1">
        <v>1.04</v>
      </c>
      <c r="E51" s="7">
        <f t="shared" si="0"/>
        <v>62.400000000000006</v>
      </c>
      <c r="F51" s="7">
        <f t="shared" si="1"/>
        <v>31.200000000000003</v>
      </c>
      <c r="G51" s="7">
        <f t="shared" si="2"/>
        <v>20.8</v>
      </c>
      <c r="H51" s="7">
        <f t="shared" si="3"/>
        <v>15.600000000000001</v>
      </c>
      <c r="I51" s="229">
        <f t="shared" si="4"/>
        <v>12.48</v>
      </c>
      <c r="J51"/>
      <c r="K51"/>
    </row>
    <row r="52" spans="1:11" s="231" customFormat="1" ht="14" thickBot="1" x14ac:dyDescent="0.2">
      <c r="B52" s="232" t="s">
        <v>54</v>
      </c>
      <c r="C52" s="231">
        <v>1889</v>
      </c>
      <c r="D52" s="231">
        <v>1.02</v>
      </c>
      <c r="E52" s="233">
        <f t="shared" si="0"/>
        <v>61.2</v>
      </c>
      <c r="F52" s="233">
        <f t="shared" si="1"/>
        <v>30.6</v>
      </c>
      <c r="G52" s="233">
        <f t="shared" si="2"/>
        <v>20.400000000000002</v>
      </c>
      <c r="H52" s="233">
        <f t="shared" si="3"/>
        <v>15.3</v>
      </c>
      <c r="I52" s="235">
        <f t="shared" si="4"/>
        <v>12.24</v>
      </c>
      <c r="J52" s="234"/>
      <c r="K52" s="234"/>
    </row>
    <row r="63" spans="1:11" ht="12.75" customHeight="1" x14ac:dyDescent="0.15"/>
  </sheetData>
  <sheetProtection selectLockedCells="1" selectUnlockedCells="1"/>
  <mergeCells count="2">
    <mergeCell ref="A13:B13"/>
    <mergeCell ref="C13:D13"/>
  </mergeCells>
  <phoneticPr fontId="12" type="noConversion"/>
  <pageMargins left="1.575" right="0.39374999999999999" top="0.39374999999999999" bottom="0.39374999999999999" header="0.51180555555555551" footer="0.51180555555555551"/>
  <pageSetup paperSize="9" firstPageNumber="0" orientation="portrait" horizontalDpi="300" verticalDpi="300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D2465-A60F-634D-99A4-AEA9F7705655}">
  <sheetPr codeName="Blad14"/>
  <dimension ref="A1:F61"/>
  <sheetViews>
    <sheetView zoomScale="87" zoomScaleNormal="87" workbookViewId="0"/>
  </sheetViews>
  <sheetFormatPr baseColWidth="10" defaultColWidth="8.75" defaultRowHeight="11" x14ac:dyDescent="0.15"/>
  <cols>
    <col min="1" max="3" width="8.75" customWidth="1"/>
    <col min="4" max="4" width="70.75" customWidth="1"/>
    <col min="5" max="6" width="10.75" customWidth="1"/>
  </cols>
  <sheetData>
    <row r="1" spans="1:6" ht="20" customHeight="1" x14ac:dyDescent="0.2">
      <c r="A1" s="171" t="s">
        <v>99</v>
      </c>
    </row>
    <row r="2" spans="1:6" ht="12" customHeight="1" x14ac:dyDescent="0.15">
      <c r="A2" t="s">
        <v>100</v>
      </c>
    </row>
    <row r="3" spans="1:6" ht="20" customHeight="1" x14ac:dyDescent="0.15"/>
    <row r="4" spans="1:6" s="178" customFormat="1" ht="10" x14ac:dyDescent="0.15">
      <c r="A4" s="172" t="s">
        <v>2</v>
      </c>
      <c r="B4" s="173"/>
      <c r="C4" s="174"/>
      <c r="D4" s="175" t="s">
        <v>3</v>
      </c>
      <c r="E4" s="176" t="s">
        <v>101</v>
      </c>
      <c r="F4" s="177"/>
    </row>
    <row r="5" spans="1:6" ht="20" customHeight="1" x14ac:dyDescent="0.2">
      <c r="A5" s="179"/>
      <c r="B5" s="180"/>
      <c r="C5" s="181"/>
      <c r="D5" s="182"/>
      <c r="E5" s="183"/>
      <c r="F5" s="184"/>
    </row>
    <row r="6" spans="1:6" ht="12" customHeight="1" x14ac:dyDescent="0.15"/>
    <row r="7" spans="1:6" s="178" customFormat="1" ht="10" x14ac:dyDescent="0.15">
      <c r="A7" s="185" t="s">
        <v>102</v>
      </c>
      <c r="B7" s="175" t="s">
        <v>103</v>
      </c>
      <c r="C7" s="175" t="s">
        <v>104</v>
      </c>
      <c r="D7" s="175" t="s">
        <v>105</v>
      </c>
      <c r="E7" s="175" t="s">
        <v>61</v>
      </c>
      <c r="F7" s="186" t="s">
        <v>62</v>
      </c>
    </row>
    <row r="8" spans="1:6" ht="20" customHeight="1" x14ac:dyDescent="0.2">
      <c r="A8" s="187" t="s">
        <v>106</v>
      </c>
      <c r="B8" s="188"/>
      <c r="C8" s="188"/>
      <c r="D8" s="188"/>
      <c r="E8" s="188"/>
      <c r="F8" s="189"/>
    </row>
    <row r="9" spans="1:6" s="178" customFormat="1" ht="10" x14ac:dyDescent="0.15">
      <c r="A9" s="190" t="s">
        <v>107</v>
      </c>
      <c r="B9" s="191"/>
      <c r="C9" s="191"/>
      <c r="D9" s="191"/>
      <c r="E9" s="191"/>
      <c r="F9" s="192" t="s">
        <v>8</v>
      </c>
    </row>
    <row r="10" spans="1:6" ht="20" customHeight="1" x14ac:dyDescent="0.15">
      <c r="A10" s="193"/>
      <c r="B10" s="180"/>
      <c r="C10" s="180"/>
      <c r="D10" s="180"/>
      <c r="E10" s="180"/>
      <c r="F10" s="194"/>
    </row>
    <row r="11" spans="1:6" ht="12" customHeight="1" x14ac:dyDescent="0.15"/>
    <row r="12" spans="1:6" s="178" customFormat="1" ht="10" x14ac:dyDescent="0.15">
      <c r="A12" s="185" t="s">
        <v>102</v>
      </c>
      <c r="B12" s="175" t="s">
        <v>103</v>
      </c>
      <c r="C12" s="175" t="s">
        <v>104</v>
      </c>
      <c r="D12" s="175" t="s">
        <v>105</v>
      </c>
      <c r="E12" s="175" t="s">
        <v>61</v>
      </c>
      <c r="F12" s="186" t="s">
        <v>62</v>
      </c>
    </row>
    <row r="13" spans="1:6" ht="20" customHeight="1" x14ac:dyDescent="0.2">
      <c r="A13" s="187" t="s">
        <v>108</v>
      </c>
      <c r="B13" s="188"/>
      <c r="C13" s="188"/>
      <c r="D13" s="188"/>
      <c r="E13" s="188"/>
      <c r="F13" s="189"/>
    </row>
    <row r="14" spans="1:6" s="178" customFormat="1" ht="10" x14ac:dyDescent="0.15">
      <c r="A14" s="190" t="s">
        <v>107</v>
      </c>
      <c r="B14" s="191"/>
      <c r="C14" s="191"/>
      <c r="D14" s="191"/>
      <c r="E14" s="191"/>
      <c r="F14" s="192" t="s">
        <v>8</v>
      </c>
    </row>
    <row r="15" spans="1:6" ht="20" customHeight="1" x14ac:dyDescent="0.15">
      <c r="A15" s="193"/>
      <c r="B15" s="180"/>
      <c r="C15" s="180"/>
      <c r="D15" s="180"/>
      <c r="E15" s="180"/>
      <c r="F15" s="194"/>
    </row>
    <row r="16" spans="1:6" ht="12" customHeight="1" x14ac:dyDescent="0.15"/>
    <row r="17" spans="1:6" s="178" customFormat="1" ht="10" x14ac:dyDescent="0.15">
      <c r="A17" s="185" t="s">
        <v>102</v>
      </c>
      <c r="B17" s="175" t="s">
        <v>103</v>
      </c>
      <c r="C17" s="175" t="s">
        <v>104</v>
      </c>
      <c r="D17" s="175" t="s">
        <v>105</v>
      </c>
      <c r="E17" s="175" t="s">
        <v>61</v>
      </c>
      <c r="F17" s="186" t="s">
        <v>62</v>
      </c>
    </row>
    <row r="18" spans="1:6" ht="20" customHeight="1" x14ac:dyDescent="0.2">
      <c r="A18" s="187" t="s">
        <v>109</v>
      </c>
      <c r="B18" s="188"/>
      <c r="C18" s="188"/>
      <c r="D18" s="188"/>
      <c r="E18" s="188"/>
      <c r="F18" s="189"/>
    </row>
    <row r="19" spans="1:6" s="178" customFormat="1" ht="10" x14ac:dyDescent="0.15">
      <c r="A19" s="190" t="s">
        <v>107</v>
      </c>
      <c r="B19" s="191"/>
      <c r="C19" s="191"/>
      <c r="D19" s="191"/>
      <c r="E19" s="191"/>
      <c r="F19" s="192" t="s">
        <v>8</v>
      </c>
    </row>
    <row r="20" spans="1:6" ht="20" customHeight="1" x14ac:dyDescent="0.15">
      <c r="A20" s="193"/>
      <c r="B20" s="180"/>
      <c r="C20" s="180"/>
      <c r="D20" s="180"/>
      <c r="E20" s="180"/>
      <c r="F20" s="194"/>
    </row>
    <row r="21" spans="1:6" ht="12" customHeight="1" x14ac:dyDescent="0.15"/>
    <row r="22" spans="1:6" s="178" customFormat="1" ht="10" x14ac:dyDescent="0.15">
      <c r="A22" s="185" t="s">
        <v>102</v>
      </c>
      <c r="B22" s="175" t="s">
        <v>103</v>
      </c>
      <c r="C22" s="175" t="s">
        <v>104</v>
      </c>
      <c r="D22" s="175" t="s">
        <v>105</v>
      </c>
      <c r="E22" s="175" t="s">
        <v>61</v>
      </c>
      <c r="F22" s="186" t="s">
        <v>62</v>
      </c>
    </row>
    <row r="23" spans="1:6" ht="20" customHeight="1" x14ac:dyDescent="0.2">
      <c r="A23" s="187" t="s">
        <v>110</v>
      </c>
      <c r="B23" s="188"/>
      <c r="C23" s="188"/>
      <c r="D23" s="188"/>
      <c r="E23" s="188"/>
      <c r="F23" s="189"/>
    </row>
    <row r="24" spans="1:6" s="178" customFormat="1" ht="10" x14ac:dyDescent="0.15">
      <c r="A24" s="190" t="s">
        <v>107</v>
      </c>
      <c r="B24" s="191"/>
      <c r="C24" s="191"/>
      <c r="D24" s="191"/>
      <c r="E24" s="191"/>
      <c r="F24" s="192" t="s">
        <v>8</v>
      </c>
    </row>
    <row r="25" spans="1:6" ht="20" customHeight="1" x14ac:dyDescent="0.15">
      <c r="A25" s="193"/>
      <c r="B25" s="180"/>
      <c r="C25" s="180"/>
      <c r="D25" s="180"/>
      <c r="E25" s="180"/>
      <c r="F25" s="194"/>
    </row>
    <row r="26" spans="1:6" ht="12" customHeight="1" x14ac:dyDescent="0.15"/>
    <row r="27" spans="1:6" s="178" customFormat="1" ht="10" x14ac:dyDescent="0.15">
      <c r="A27" s="185" t="s">
        <v>102</v>
      </c>
      <c r="B27" s="175" t="s">
        <v>103</v>
      </c>
      <c r="C27" s="175" t="s">
        <v>104</v>
      </c>
      <c r="D27" s="175" t="s">
        <v>105</v>
      </c>
      <c r="E27" s="175" t="s">
        <v>61</v>
      </c>
      <c r="F27" s="186" t="s">
        <v>62</v>
      </c>
    </row>
    <row r="28" spans="1:6" ht="20" customHeight="1" x14ac:dyDescent="0.2">
      <c r="A28" s="187" t="s">
        <v>111</v>
      </c>
      <c r="B28" s="188"/>
      <c r="C28" s="188"/>
      <c r="D28" s="188"/>
      <c r="E28" s="188"/>
      <c r="F28" s="189"/>
    </row>
    <row r="29" spans="1:6" s="178" customFormat="1" ht="10" x14ac:dyDescent="0.15">
      <c r="A29" s="190" t="s">
        <v>107</v>
      </c>
      <c r="B29" s="191"/>
      <c r="C29" s="191"/>
      <c r="D29" s="191"/>
      <c r="E29" s="191"/>
      <c r="F29" s="192" t="s">
        <v>8</v>
      </c>
    </row>
    <row r="30" spans="1:6" ht="20" customHeight="1" x14ac:dyDescent="0.15">
      <c r="A30" s="193"/>
      <c r="B30" s="180"/>
      <c r="C30" s="180"/>
      <c r="D30" s="180"/>
      <c r="E30" s="180"/>
      <c r="F30" s="194"/>
    </row>
    <row r="31" spans="1:6" ht="12" customHeight="1" x14ac:dyDescent="0.15"/>
    <row r="32" spans="1:6" s="178" customFormat="1" ht="10" x14ac:dyDescent="0.15">
      <c r="A32" s="185" t="s">
        <v>102</v>
      </c>
      <c r="B32" s="175" t="s">
        <v>103</v>
      </c>
      <c r="C32" s="175" t="s">
        <v>104</v>
      </c>
      <c r="D32" s="175" t="s">
        <v>105</v>
      </c>
      <c r="E32" s="175" t="s">
        <v>61</v>
      </c>
      <c r="F32" s="186" t="s">
        <v>62</v>
      </c>
    </row>
    <row r="33" spans="1:6" ht="20" customHeight="1" x14ac:dyDescent="0.2">
      <c r="A33" s="187" t="s">
        <v>112</v>
      </c>
      <c r="B33" s="188"/>
      <c r="C33" s="188"/>
      <c r="D33" s="188"/>
      <c r="E33" s="188"/>
      <c r="F33" s="189"/>
    </row>
    <row r="34" spans="1:6" s="178" customFormat="1" ht="10" x14ac:dyDescent="0.15">
      <c r="A34" s="190" t="s">
        <v>107</v>
      </c>
      <c r="B34" s="191"/>
      <c r="C34" s="191"/>
      <c r="D34" s="191"/>
      <c r="E34" s="191"/>
      <c r="F34" s="192" t="s">
        <v>8</v>
      </c>
    </row>
    <row r="35" spans="1:6" ht="20" customHeight="1" x14ac:dyDescent="0.15">
      <c r="A35" s="193"/>
      <c r="B35" s="180"/>
      <c r="C35" s="180"/>
      <c r="D35" s="180"/>
      <c r="E35" s="180"/>
      <c r="F35" s="194"/>
    </row>
    <row r="36" spans="1:6" ht="12" customHeight="1" x14ac:dyDescent="0.15"/>
    <row r="37" spans="1:6" s="178" customFormat="1" ht="10" x14ac:dyDescent="0.15">
      <c r="A37" s="185" t="s">
        <v>102</v>
      </c>
      <c r="B37" s="175" t="s">
        <v>103</v>
      </c>
      <c r="C37" s="175" t="s">
        <v>104</v>
      </c>
      <c r="D37" s="175" t="s">
        <v>105</v>
      </c>
      <c r="E37" s="175" t="s">
        <v>61</v>
      </c>
      <c r="F37" s="186" t="s">
        <v>62</v>
      </c>
    </row>
    <row r="38" spans="1:6" ht="20" customHeight="1" x14ac:dyDescent="0.2">
      <c r="A38" s="187" t="s">
        <v>113</v>
      </c>
      <c r="B38" s="188"/>
      <c r="C38" s="188"/>
      <c r="D38" s="188"/>
      <c r="E38" s="188"/>
      <c r="F38" s="189"/>
    </row>
    <row r="39" spans="1:6" s="178" customFormat="1" ht="10" x14ac:dyDescent="0.15">
      <c r="A39" s="190" t="s">
        <v>107</v>
      </c>
      <c r="B39" s="191"/>
      <c r="C39" s="191"/>
      <c r="D39" s="191"/>
      <c r="E39" s="191"/>
      <c r="F39" s="192" t="s">
        <v>8</v>
      </c>
    </row>
    <row r="40" spans="1:6" ht="20" customHeight="1" x14ac:dyDescent="0.15">
      <c r="A40" s="193"/>
      <c r="B40" s="180"/>
      <c r="C40" s="180"/>
      <c r="D40" s="180"/>
      <c r="E40" s="180"/>
      <c r="F40" s="194"/>
    </row>
    <row r="41" spans="1:6" ht="12" customHeight="1" x14ac:dyDescent="0.15"/>
    <row r="42" spans="1:6" s="178" customFormat="1" ht="10" x14ac:dyDescent="0.15">
      <c r="A42" s="185" t="s">
        <v>102</v>
      </c>
      <c r="B42" s="175" t="s">
        <v>103</v>
      </c>
      <c r="C42" s="175" t="s">
        <v>104</v>
      </c>
      <c r="D42" s="175" t="s">
        <v>105</v>
      </c>
      <c r="E42" s="175" t="s">
        <v>61</v>
      </c>
      <c r="F42" s="186" t="s">
        <v>62</v>
      </c>
    </row>
    <row r="43" spans="1:6" ht="20" customHeight="1" x14ac:dyDescent="0.2">
      <c r="A43" s="187" t="s">
        <v>114</v>
      </c>
      <c r="B43" s="188"/>
      <c r="C43" s="188"/>
      <c r="D43" s="188"/>
      <c r="E43" s="188"/>
      <c r="F43" s="189"/>
    </row>
    <row r="44" spans="1:6" s="178" customFormat="1" ht="10" x14ac:dyDescent="0.15">
      <c r="A44" s="190" t="s">
        <v>107</v>
      </c>
      <c r="B44" s="191"/>
      <c r="C44" s="191"/>
      <c r="D44" s="191"/>
      <c r="E44" s="191"/>
      <c r="F44" s="192" t="s">
        <v>8</v>
      </c>
    </row>
    <row r="45" spans="1:6" ht="20" customHeight="1" x14ac:dyDescent="0.15">
      <c r="A45" s="193"/>
      <c r="B45" s="180"/>
      <c r="C45" s="180"/>
      <c r="D45" s="180"/>
      <c r="E45" s="180"/>
      <c r="F45" s="194"/>
    </row>
    <row r="46" spans="1:6" ht="12" customHeight="1" x14ac:dyDescent="0.15"/>
    <row r="47" spans="1:6" s="178" customFormat="1" ht="10" x14ac:dyDescent="0.15">
      <c r="A47" s="185" t="s">
        <v>102</v>
      </c>
      <c r="B47" s="175" t="s">
        <v>103</v>
      </c>
      <c r="C47" s="175" t="s">
        <v>104</v>
      </c>
      <c r="D47" s="175" t="s">
        <v>105</v>
      </c>
      <c r="E47" s="175" t="s">
        <v>61</v>
      </c>
      <c r="F47" s="186" t="s">
        <v>62</v>
      </c>
    </row>
    <row r="48" spans="1:6" ht="20" customHeight="1" x14ac:dyDescent="0.2">
      <c r="A48" s="187" t="s">
        <v>115</v>
      </c>
      <c r="B48" s="188"/>
      <c r="C48" s="188"/>
      <c r="D48" s="188"/>
      <c r="E48" s="188"/>
      <c r="F48" s="189"/>
    </row>
    <row r="49" spans="1:6" s="178" customFormat="1" ht="10" x14ac:dyDescent="0.15">
      <c r="A49" s="190" t="s">
        <v>107</v>
      </c>
      <c r="B49" s="191"/>
      <c r="C49" s="191"/>
      <c r="D49" s="191"/>
      <c r="E49" s="191"/>
      <c r="F49" s="192" t="s">
        <v>8</v>
      </c>
    </row>
    <row r="50" spans="1:6" ht="20" customHeight="1" x14ac:dyDescent="0.15">
      <c r="A50" s="193"/>
      <c r="B50" s="180"/>
      <c r="C50" s="180"/>
      <c r="D50" s="180"/>
      <c r="E50" s="180"/>
      <c r="F50" s="194"/>
    </row>
    <row r="51" spans="1:6" ht="12" customHeight="1" x14ac:dyDescent="0.15"/>
    <row r="52" spans="1:6" s="178" customFormat="1" ht="10" x14ac:dyDescent="0.15">
      <c r="A52" s="185" t="s">
        <v>102</v>
      </c>
      <c r="B52" s="175" t="s">
        <v>103</v>
      </c>
      <c r="C52" s="175" t="s">
        <v>104</v>
      </c>
      <c r="D52" s="175" t="s">
        <v>105</v>
      </c>
      <c r="E52" s="175" t="s">
        <v>61</v>
      </c>
      <c r="F52" s="186" t="s">
        <v>62</v>
      </c>
    </row>
    <row r="53" spans="1:6" ht="20" customHeight="1" x14ac:dyDescent="0.2">
      <c r="A53" s="187" t="s">
        <v>116</v>
      </c>
      <c r="B53" s="188"/>
      <c r="C53" s="188"/>
      <c r="D53" s="188"/>
      <c r="E53" s="188"/>
      <c r="F53" s="189"/>
    </row>
    <row r="54" spans="1:6" s="178" customFormat="1" ht="10" x14ac:dyDescent="0.15">
      <c r="A54" s="190" t="s">
        <v>107</v>
      </c>
      <c r="B54" s="191"/>
      <c r="C54" s="191"/>
      <c r="D54" s="191"/>
      <c r="E54" s="191"/>
      <c r="F54" s="192" t="s">
        <v>8</v>
      </c>
    </row>
    <row r="55" spans="1:6" ht="20" customHeight="1" x14ac:dyDescent="0.15">
      <c r="A55" s="193"/>
      <c r="B55" s="180"/>
      <c r="C55" s="180"/>
      <c r="D55" s="180"/>
      <c r="E55" s="180"/>
      <c r="F55" s="194"/>
    </row>
    <row r="56" spans="1:6" ht="12" customHeight="1" x14ac:dyDescent="0.15"/>
    <row r="57" spans="1:6" ht="12" customHeight="1" x14ac:dyDescent="0.15"/>
    <row r="58" spans="1:6" ht="12" customHeight="1" x14ac:dyDescent="0.15"/>
    <row r="59" spans="1:6" ht="12" customHeight="1" x14ac:dyDescent="0.15"/>
    <row r="60" spans="1:6" ht="12" customHeight="1" x14ac:dyDescent="0.15"/>
    <row r="61" spans="1:6" ht="12" customHeight="1" x14ac:dyDescent="0.15"/>
  </sheetData>
  <sheetProtection selectLockedCells="1" selectUnlockedCells="1"/>
  <phoneticPr fontId="12" type="noConversion"/>
  <printOptions horizontalCentered="1" verticalCentered="1"/>
  <pageMargins left="0.39374999999999999" right="0.39374999999999999" top="0.39374999999999999" bottom="0.39374999999999999" header="0.51180555555555551" footer="0.51180555555555551"/>
  <pageSetup paperSize="9" firstPageNumber="0"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82393-FF51-FB45-A3D7-6B41945CFEFA}">
  <sheetPr codeName="Blad15"/>
  <dimension ref="A2:J43"/>
  <sheetViews>
    <sheetView tabSelected="1" zoomScale="87" zoomScaleNormal="87" workbookViewId="0">
      <selection activeCell="A21" sqref="A21"/>
    </sheetView>
  </sheetViews>
  <sheetFormatPr baseColWidth="10" defaultColWidth="9.25" defaultRowHeight="16" x14ac:dyDescent="0.2"/>
  <cols>
    <col min="1" max="1" width="30.75" style="61" customWidth="1"/>
    <col min="2" max="2" width="17.75" style="61" customWidth="1"/>
    <col min="3" max="8" width="18.75" style="61" customWidth="1"/>
    <col min="9" max="9" width="18.25" style="61" customWidth="1"/>
    <col min="10" max="10" width="12" style="61" bestFit="1" customWidth="1"/>
    <col min="11" max="16384" width="9.25" style="61"/>
  </cols>
  <sheetData>
    <row r="2" spans="1:9" x14ac:dyDescent="0.2">
      <c r="E2" s="61" t="s">
        <v>117</v>
      </c>
    </row>
    <row r="3" spans="1:9" x14ac:dyDescent="0.2">
      <c r="B3" s="61" t="s">
        <v>118</v>
      </c>
      <c r="C3" s="61" t="s">
        <v>119</v>
      </c>
      <c r="D3" s="61" t="s">
        <v>120</v>
      </c>
      <c r="E3" s="61" t="s">
        <v>121</v>
      </c>
      <c r="F3" s="61" t="s">
        <v>150</v>
      </c>
    </row>
    <row r="4" spans="1:9" x14ac:dyDescent="0.2">
      <c r="A4" s="61">
        <v>1</v>
      </c>
      <c r="B4" s="195">
        <f>COUNTA('Segl 1'!$F$19:$F$31)</f>
        <v>7</v>
      </c>
      <c r="C4" s="195">
        <f>COUNTA('Segl 1'!$C$19:$D$31)</f>
        <v>7</v>
      </c>
      <c r="D4" s="196">
        <f t="shared" ref="D4:D13" si="0">B4+C4</f>
        <v>14</v>
      </c>
      <c r="E4" s="197">
        <f>'Segl 1'!J$21/3600/24</f>
        <v>2.7233796296296298E-2</v>
      </c>
      <c r="F4" s="198">
        <f>'Segl 1'!K$21/3600/24</f>
        <v>2.3638935185185186E-2</v>
      </c>
      <c r="H4" s="199"/>
      <c r="I4" s="199"/>
    </row>
    <row r="5" spans="1:9" x14ac:dyDescent="0.2">
      <c r="A5" s="61">
        <v>2</v>
      </c>
      <c r="B5" s="195">
        <f>COUNTA('Segl 2'!$F$19:$F$31)</f>
        <v>5</v>
      </c>
      <c r="C5" s="195">
        <f>COUNTA('Segl 2'!$C$19:$D$31)</f>
        <v>4</v>
      </c>
      <c r="D5" s="196">
        <f t="shared" si="0"/>
        <v>9</v>
      </c>
      <c r="E5" s="197">
        <f>'Segl 2'!J$21/3600/24</f>
        <v>3.574074074074074E-2</v>
      </c>
      <c r="F5" s="198">
        <f>'Segl 2'!K$21/3600/24</f>
        <v>3.1022962962962964E-2</v>
      </c>
      <c r="H5" s="199"/>
      <c r="I5" s="199"/>
    </row>
    <row r="6" spans="1:9" x14ac:dyDescent="0.2">
      <c r="A6" s="61">
        <v>3</v>
      </c>
      <c r="B6" s="195">
        <f>COUNTA('Segl 3'!$F$19:$F$31)</f>
        <v>6</v>
      </c>
      <c r="C6" s="195">
        <f>COUNTA('Segl 3'!$C$19:$D$31)</f>
        <v>5</v>
      </c>
      <c r="D6" s="196">
        <f t="shared" si="0"/>
        <v>11</v>
      </c>
      <c r="E6" s="197">
        <f>'Segl 3'!J$21/3600/24</f>
        <v>2.9456018518518423E-2</v>
      </c>
      <c r="F6" s="198">
        <f>'Segl 3'!K$21/3600/24</f>
        <v>2.5567824074073989E-2</v>
      </c>
      <c r="H6" s="199"/>
      <c r="I6" s="199"/>
    </row>
    <row r="7" spans="1:9" x14ac:dyDescent="0.2">
      <c r="A7" s="61">
        <v>4</v>
      </c>
      <c r="B7" s="195">
        <f>COUNTA('Segl 4'!$F$19:$F$31)</f>
        <v>4</v>
      </c>
      <c r="C7" s="195">
        <f>COUNTA('Segl 4'!$C$19:$D$31)</f>
        <v>3</v>
      </c>
      <c r="D7" s="196">
        <f t="shared" si="0"/>
        <v>7</v>
      </c>
      <c r="E7" s="197">
        <f>'Segl 4'!J$20/3600/24</f>
        <v>3.4988425925925992E-2</v>
      </c>
      <c r="F7" s="198">
        <f>'Segl 4'!K$20/3600/24</f>
        <v>3.0369953703703764E-2</v>
      </c>
      <c r="H7" s="199"/>
      <c r="I7" s="199"/>
    </row>
    <row r="8" spans="1:9" x14ac:dyDescent="0.2">
      <c r="A8" s="61">
        <v>5</v>
      </c>
      <c r="B8" s="195">
        <f>COUNTA('Segl 5'!$F$19:$F$31)</f>
        <v>7</v>
      </c>
      <c r="C8" s="195">
        <f>COUNTA('Segl 5'!$C$19:$D$31)</f>
        <v>6</v>
      </c>
      <c r="D8" s="196">
        <f t="shared" si="0"/>
        <v>13</v>
      </c>
      <c r="E8" s="197">
        <f>'Segl 5'!J$21/3600/24</f>
        <v>2.1608796296296306E-2</v>
      </c>
      <c r="F8" s="198">
        <f>'Segl 5'!K$21/3600/24</f>
        <v>1.8756435185185192E-2</v>
      </c>
      <c r="H8" s="199"/>
      <c r="I8" s="199"/>
    </row>
    <row r="9" spans="1:9" x14ac:dyDescent="0.2">
      <c r="A9" s="61">
        <v>6</v>
      </c>
      <c r="B9" s="195">
        <f>COUNTA('Segl 6'!$F$19:$F$31)</f>
        <v>3</v>
      </c>
      <c r="C9" s="195">
        <f>COUNTA('Segl 6'!$C$19:$D$31)</f>
        <v>2</v>
      </c>
      <c r="D9" s="196">
        <f t="shared" si="0"/>
        <v>5</v>
      </c>
      <c r="E9" s="198">
        <f>'Segl 6'!J$19/24/3600</f>
        <v>3.0763888888888813E-2</v>
      </c>
      <c r="F9" s="198">
        <f>'Segl 6'!K$19/3600/24</f>
        <v>2.670305555555549E-2</v>
      </c>
      <c r="H9" s="199"/>
      <c r="I9" s="199"/>
    </row>
    <row r="10" spans="1:9" x14ac:dyDescent="0.2">
      <c r="A10" s="61">
        <v>7</v>
      </c>
      <c r="B10" s="195">
        <f>COUNTA('Segl 7'!$F$19:$F$31)</f>
        <v>6</v>
      </c>
      <c r="C10" s="195">
        <f>COUNTA('Segl 7'!$C$19:$D$31)</f>
        <v>5</v>
      </c>
      <c r="D10" s="196">
        <f t="shared" si="0"/>
        <v>11</v>
      </c>
      <c r="E10" s="198">
        <f>'Segl 7'!J$22/24/3600</f>
        <v>2.4282407407407502E-2</v>
      </c>
      <c r="F10" s="198">
        <f>'Segl 7'!K$22/3600/24</f>
        <v>2.1077129629629713E-2</v>
      </c>
      <c r="H10" s="199"/>
      <c r="I10" s="199"/>
    </row>
    <row r="11" spans="1:9" x14ac:dyDescent="0.2">
      <c r="A11" s="61">
        <v>8</v>
      </c>
      <c r="B11" s="195">
        <f>COUNTA('Segl 8'!$F$19:$F$31)</f>
        <v>6</v>
      </c>
      <c r="C11" s="195">
        <f>COUNTA('Segl 8'!$C$19:$D$31)</f>
        <v>5</v>
      </c>
      <c r="D11" s="196">
        <f t="shared" si="0"/>
        <v>11</v>
      </c>
      <c r="E11" s="198">
        <f>'Segl 8'!J$21/24/3600</f>
        <v>3.068287037037043E-2</v>
      </c>
      <c r="F11" s="198">
        <f>'Segl 8'!K$21/3600/24</f>
        <v>2.6632731481481531E-2</v>
      </c>
      <c r="H11" s="199"/>
      <c r="I11" s="199"/>
    </row>
    <row r="12" spans="1:9" x14ac:dyDescent="0.2">
      <c r="A12" s="61">
        <v>9</v>
      </c>
      <c r="B12" s="195">
        <f>COUNTA('Segl 9'!$F$19:$F$31)</f>
        <v>5</v>
      </c>
      <c r="C12" s="195">
        <f>COUNTA('Segl 9'!$C$19:$D$31)</f>
        <v>5</v>
      </c>
      <c r="D12" s="196">
        <f t="shared" si="0"/>
        <v>10</v>
      </c>
      <c r="E12" s="198">
        <f>'Segl 9'!J$21/24/3600</f>
        <v>3.0185185185185093E-2</v>
      </c>
      <c r="F12" s="198">
        <f>'Segl 9'!K$21/3600/24</f>
        <v>2.620074074074066E-2</v>
      </c>
      <c r="H12" s="199"/>
      <c r="I12" s="199"/>
    </row>
    <row r="13" spans="1:9" x14ac:dyDescent="0.2">
      <c r="A13" s="61">
        <v>10</v>
      </c>
      <c r="B13" s="195">
        <f>COUNTA('Segl 10'!$F$19:$F$31)</f>
        <v>5</v>
      </c>
      <c r="C13" s="195">
        <f>COUNTA('Segl 10'!$C$19:$D$31)</f>
        <v>4</v>
      </c>
      <c r="D13" s="196">
        <f t="shared" si="0"/>
        <v>9</v>
      </c>
      <c r="E13" s="198">
        <f>'Segl 10'!J$21/24/3600</f>
        <v>3.5069444444444486E-2</v>
      </c>
      <c r="F13" s="198">
        <f>'Segl 10'!K$21/3600/24</f>
        <v>3.0440277777777816E-2</v>
      </c>
      <c r="H13" s="199"/>
      <c r="I13" s="199"/>
    </row>
    <row r="14" spans="1:9" x14ac:dyDescent="0.2">
      <c r="A14" s="171" t="s">
        <v>120</v>
      </c>
      <c r="B14" s="196">
        <f>SUM(B4:B13)</f>
        <v>54</v>
      </c>
      <c r="C14" s="196">
        <f>SUM(C4:C13)</f>
        <v>46</v>
      </c>
      <c r="D14" s="200">
        <f>SUM(D4:D13)</f>
        <v>100</v>
      </c>
      <c r="E14" s="198">
        <f>SUM(E4:E13)</f>
        <v>0.30001157407407408</v>
      </c>
      <c r="F14" s="198">
        <f>SUM(F4:F13)</f>
        <v>0.26041004629629633</v>
      </c>
      <c r="H14" s="199"/>
      <c r="I14" s="199"/>
    </row>
    <row r="15" spans="1:9" x14ac:dyDescent="0.2">
      <c r="B15" s="201"/>
      <c r="C15" s="201"/>
      <c r="D15" s="201"/>
    </row>
    <row r="16" spans="1:9" x14ac:dyDescent="0.2">
      <c r="B16" s="201"/>
      <c r="C16" s="201"/>
      <c r="D16" s="201"/>
    </row>
    <row r="18" spans="1:10" x14ac:dyDescent="0.2">
      <c r="A18" s="61" t="s">
        <v>216</v>
      </c>
      <c r="B18" s="61">
        <v>4</v>
      </c>
      <c r="C18" s="61">
        <v>1</v>
      </c>
      <c r="D18" s="196">
        <f>B18+C18</f>
        <v>5</v>
      </c>
      <c r="E18" s="198">
        <v>0.14789351851851851</v>
      </c>
      <c r="F18" s="198">
        <f>E18*0.868</f>
        <v>0.12837157407407407</v>
      </c>
    </row>
    <row r="19" spans="1:10" x14ac:dyDescent="0.2">
      <c r="A19" s="61" t="s">
        <v>217</v>
      </c>
      <c r="B19" s="61">
        <v>6</v>
      </c>
      <c r="C19" s="61">
        <v>4</v>
      </c>
      <c r="D19" s="196">
        <f>B19+C19</f>
        <v>10</v>
      </c>
      <c r="E19" s="198">
        <v>4.3518518518518519E-2</v>
      </c>
      <c r="F19" s="198">
        <f>E19*0.868</f>
        <v>3.7774074074074071E-2</v>
      </c>
    </row>
    <row r="20" spans="1:10" x14ac:dyDescent="0.2">
      <c r="A20" s="61" t="s">
        <v>122</v>
      </c>
      <c r="B20" s="61">
        <v>0</v>
      </c>
      <c r="C20" s="61">
        <v>0</v>
      </c>
      <c r="D20" s="196">
        <f>B20+C20</f>
        <v>0</v>
      </c>
      <c r="E20" s="198">
        <v>0</v>
      </c>
      <c r="F20" s="198">
        <v>0</v>
      </c>
    </row>
    <row r="21" spans="1:10" x14ac:dyDescent="0.2">
      <c r="A21" s="61" t="s">
        <v>123</v>
      </c>
      <c r="B21" s="61">
        <v>4</v>
      </c>
      <c r="C21" s="61">
        <v>3</v>
      </c>
      <c r="D21" s="196">
        <f>B21+C21</f>
        <v>7</v>
      </c>
      <c r="E21" s="198">
        <v>4.4479166666666667E-2</v>
      </c>
      <c r="F21" s="198">
        <f>E21*0.868</f>
        <v>3.8607916666666665E-2</v>
      </c>
      <c r="I21" s="197"/>
      <c r="J21" s="197"/>
    </row>
    <row r="22" spans="1:10" x14ac:dyDescent="0.2">
      <c r="A22" s="61" t="s">
        <v>124</v>
      </c>
      <c r="B22" s="61">
        <v>0</v>
      </c>
      <c r="C22" s="61">
        <v>0</v>
      </c>
      <c r="D22" s="196">
        <f>B22+C22</f>
        <v>0</v>
      </c>
      <c r="E22" s="198">
        <v>0</v>
      </c>
      <c r="F22" s="198">
        <v>0</v>
      </c>
      <c r="I22" s="198"/>
    </row>
    <row r="25" spans="1:10" x14ac:dyDescent="0.2">
      <c r="A25" s="171" t="s">
        <v>120</v>
      </c>
      <c r="B25" s="196">
        <f>SUM(B14:B22)</f>
        <v>68</v>
      </c>
      <c r="C25" s="196">
        <f>SUM(C14:C22)</f>
        <v>54</v>
      </c>
      <c r="D25" s="196">
        <f>SUM(D14:D22)</f>
        <v>122</v>
      </c>
      <c r="E25" s="202">
        <f>SUM(E14:E22)</f>
        <v>0.53590277777777773</v>
      </c>
      <c r="F25" s="202">
        <f>SUM(F14:F22)</f>
        <v>0.46516361111111115</v>
      </c>
    </row>
    <row r="29" spans="1:10" x14ac:dyDescent="0.2">
      <c r="B29" s="61" t="s">
        <v>125</v>
      </c>
      <c r="C29" s="61" t="s">
        <v>126</v>
      </c>
      <c r="D29" s="61" t="s">
        <v>127</v>
      </c>
      <c r="E29" s="61" t="s">
        <v>128</v>
      </c>
      <c r="F29" s="61" t="s">
        <v>129</v>
      </c>
      <c r="G29" s="61" t="s">
        <v>130</v>
      </c>
      <c r="H29" s="61" t="s">
        <v>120</v>
      </c>
    </row>
    <row r="30" spans="1:10" x14ac:dyDescent="0.2">
      <c r="A30" s="45" t="str">
        <f>Sammanställning!B9</f>
        <v>Staffan Kerker</v>
      </c>
      <c r="B30" s="196">
        <v>0</v>
      </c>
      <c r="C30" s="196">
        <v>1</v>
      </c>
      <c r="D30" s="196">
        <v>1</v>
      </c>
      <c r="E30" s="196">
        <v>0</v>
      </c>
      <c r="F30" s="196">
        <v>0</v>
      </c>
      <c r="G30" s="196">
        <f>Sammanställning!Q9</f>
        <v>9</v>
      </c>
      <c r="H30" s="195">
        <f>SUM(B30:G30)</f>
        <v>11</v>
      </c>
    </row>
    <row r="31" spans="1:10" x14ac:dyDescent="0.2">
      <c r="A31" s="45" t="str">
        <f>Sammanställning!B10</f>
        <v>Jan-Erik Jonsson</v>
      </c>
      <c r="B31" s="196">
        <v>1</v>
      </c>
      <c r="C31" s="196">
        <v>0</v>
      </c>
      <c r="D31" s="196">
        <v>1</v>
      </c>
      <c r="E31" s="196"/>
      <c r="F31" s="196"/>
      <c r="G31" s="196">
        <f>Sammanställning!Q10</f>
        <v>8</v>
      </c>
      <c r="H31" s="195">
        <f t="shared" ref="H31:H41" si="1">SUM(B31:G31)</f>
        <v>10</v>
      </c>
    </row>
    <row r="32" spans="1:10" x14ac:dyDescent="0.2">
      <c r="A32" s="45" t="str">
        <f>Sammanställning!B11</f>
        <v>Tobjörn Herbertsson</v>
      </c>
      <c r="B32" s="196"/>
      <c r="C32" s="196">
        <v>1</v>
      </c>
      <c r="D32" s="196"/>
      <c r="E32" s="196"/>
      <c r="F32" s="196"/>
      <c r="G32" s="196">
        <f>Sammanställning!Q11</f>
        <v>8</v>
      </c>
      <c r="H32" s="195">
        <f t="shared" si="1"/>
        <v>9</v>
      </c>
    </row>
    <row r="33" spans="1:8" x14ac:dyDescent="0.2">
      <c r="A33" s="45" t="str">
        <f>Sammanställning!B12</f>
        <v>Urban Thim</v>
      </c>
      <c r="B33" s="196">
        <v>1</v>
      </c>
      <c r="C33" s="196">
        <v>1</v>
      </c>
      <c r="D33" s="196">
        <v>1</v>
      </c>
      <c r="E33" s="196"/>
      <c r="F33" s="196"/>
      <c r="G33" s="196">
        <f>Sammanställning!Q12</f>
        <v>8</v>
      </c>
      <c r="H33" s="195">
        <f t="shared" si="1"/>
        <v>11</v>
      </c>
    </row>
    <row r="34" spans="1:8" x14ac:dyDescent="0.2">
      <c r="A34" s="45" t="str">
        <f>Sammanställning!B13</f>
        <v>Lars Berglund</v>
      </c>
      <c r="B34" s="196">
        <v>1</v>
      </c>
      <c r="C34" s="196">
        <v>1</v>
      </c>
      <c r="D34" s="196">
        <v>1</v>
      </c>
      <c r="E34" s="196"/>
      <c r="F34" s="196"/>
      <c r="G34" s="196">
        <f>Sammanställning!Q13</f>
        <v>10</v>
      </c>
      <c r="H34" s="195">
        <f t="shared" si="1"/>
        <v>13</v>
      </c>
    </row>
    <row r="35" spans="1:8" x14ac:dyDescent="0.2">
      <c r="A35" s="45" t="str">
        <f>Sammanställning!B14</f>
        <v>Ingmar Olsson</v>
      </c>
      <c r="B35" s="196"/>
      <c r="C35" s="196">
        <v>1</v>
      </c>
      <c r="D35" s="196"/>
      <c r="E35" s="196"/>
      <c r="F35" s="196"/>
      <c r="G35" s="196">
        <f>Sammanställning!Q14</f>
        <v>2</v>
      </c>
      <c r="H35" s="195">
        <f t="shared" si="1"/>
        <v>3</v>
      </c>
    </row>
    <row r="36" spans="1:8" x14ac:dyDescent="0.2">
      <c r="A36" s="45" t="str">
        <f>Sammanställning!B15</f>
        <v>Erik Andersson</v>
      </c>
      <c r="B36" s="196">
        <v>1</v>
      </c>
      <c r="C36" s="196"/>
      <c r="D36" s="196"/>
      <c r="E36" s="196"/>
      <c r="F36" s="196"/>
      <c r="G36" s="196">
        <f>Sammanställning!Q15</f>
        <v>4</v>
      </c>
      <c r="H36" s="195">
        <f t="shared" si="1"/>
        <v>5</v>
      </c>
    </row>
    <row r="37" spans="1:8" x14ac:dyDescent="0.2">
      <c r="A37" s="45" t="str">
        <f>Sammanställning!B16</f>
        <v>Magnus Nilsson</v>
      </c>
      <c r="B37" s="196"/>
      <c r="C37" s="196">
        <v>1</v>
      </c>
      <c r="D37" s="196"/>
      <c r="E37" s="196"/>
      <c r="F37" s="196"/>
      <c r="G37" s="196">
        <f>Sammanställning!Q16</f>
        <v>5</v>
      </c>
      <c r="H37" s="195">
        <f t="shared" si="1"/>
        <v>6</v>
      </c>
    </row>
    <row r="38" spans="1:8" x14ac:dyDescent="0.2">
      <c r="A38" s="45">
        <f>Sammanställning!B17</f>
        <v>0</v>
      </c>
      <c r="B38" s="196"/>
      <c r="C38" s="196"/>
      <c r="D38" s="196"/>
      <c r="E38" s="196"/>
      <c r="F38" s="196"/>
      <c r="G38" s="196">
        <f>Sammanställning!Q17</f>
        <v>0</v>
      </c>
      <c r="H38" s="195">
        <f t="shared" si="1"/>
        <v>0</v>
      </c>
    </row>
    <row r="39" spans="1:8" x14ac:dyDescent="0.2">
      <c r="A39" s="45">
        <f>Sammanställning!B18</f>
        <v>0</v>
      </c>
      <c r="B39" s="196"/>
      <c r="C39" s="196"/>
      <c r="D39" s="196"/>
      <c r="E39" s="196"/>
      <c r="F39" s="196"/>
      <c r="G39" s="196">
        <f>Sammanställning!Q18</f>
        <v>0</v>
      </c>
      <c r="H39" s="195">
        <f t="shared" si="1"/>
        <v>0</v>
      </c>
    </row>
    <row r="40" spans="1:8" x14ac:dyDescent="0.2">
      <c r="A40" s="45">
        <f>Sammanställning!B19</f>
        <v>0</v>
      </c>
      <c r="G40" s="196">
        <f>Sammanställning!Q19</f>
        <v>0</v>
      </c>
      <c r="H40" s="195">
        <f t="shared" si="1"/>
        <v>0</v>
      </c>
    </row>
    <row r="41" spans="1:8" x14ac:dyDescent="0.2">
      <c r="A41" s="45">
        <f>Sammanställning!B20</f>
        <v>0</v>
      </c>
      <c r="G41" s="196">
        <f>Sammanställning!Q20</f>
        <v>0</v>
      </c>
      <c r="H41" s="195">
        <f t="shared" si="1"/>
        <v>0</v>
      </c>
    </row>
    <row r="42" spans="1:8" x14ac:dyDescent="0.2">
      <c r="A42" s="45">
        <f>Sammanställning!B21</f>
        <v>0</v>
      </c>
    </row>
    <row r="43" spans="1:8" x14ac:dyDescent="0.2">
      <c r="A43" s="45"/>
      <c r="B43" s="196"/>
      <c r="C43" s="196"/>
      <c r="D43" s="196"/>
      <c r="E43" s="196"/>
      <c r="F43" s="196"/>
      <c r="G43" s="196"/>
      <c r="H43" s="195"/>
    </row>
  </sheetData>
  <sheetProtection selectLockedCells="1" selectUnlockedCells="1"/>
  <phoneticPr fontId="12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</vt:i4>
      </vt:variant>
    </vt:vector>
  </HeadingPairs>
  <TitlesOfParts>
    <vt:vector size="16" baseType="lpstr">
      <vt:lpstr>Sammanställning</vt:lpstr>
      <vt:lpstr>Protokoll till pärmen</vt:lpstr>
      <vt:lpstr>Segl 1</vt:lpstr>
      <vt:lpstr>Segl 2</vt:lpstr>
      <vt:lpstr>Segl 3</vt:lpstr>
      <vt:lpstr>Segl 4</vt:lpstr>
      <vt:lpstr>Segl 5</vt:lpstr>
      <vt:lpstr>Segl 6</vt:lpstr>
      <vt:lpstr>Segl 7</vt:lpstr>
      <vt:lpstr>Segl 8</vt:lpstr>
      <vt:lpstr>Segl 9</vt:lpstr>
      <vt:lpstr>Segl 10</vt:lpstr>
      <vt:lpstr>Banor</vt:lpstr>
      <vt:lpstr>Bana Baksida</vt:lpstr>
      <vt:lpstr>Deltagare</vt:lpstr>
      <vt:lpstr>Sammanställning!Print_Area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Staffan Kerker</cp:lastModifiedBy>
  <cp:lastPrinted>2026-06-21T11:32:34Z</cp:lastPrinted>
  <dcterms:created xsi:type="dcterms:W3CDTF">2011-09-15T21:21:09Z</dcterms:created>
  <dcterms:modified xsi:type="dcterms:W3CDTF">2026-09-26T09:52:59Z</dcterms:modified>
</cp:coreProperties>
</file>